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udget\RA\"/>
    </mc:Choice>
  </mc:AlternateContent>
  <bookViews>
    <workbookView xWindow="0" yWindow="0" windowWidth="20490" windowHeight="6855"/>
  </bookViews>
  <sheets>
    <sheet name="Probable2015" sheetId="1" r:id="rId1"/>
    <sheet name="ComptableProbable2015"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1" l="1"/>
  <c r="J45" i="1"/>
  <c r="I45" i="1" s="1"/>
  <c r="H45" i="1"/>
  <c r="G45" i="1"/>
  <c r="E45" i="1"/>
  <c r="D45" i="1" s="1"/>
  <c r="C45" i="1"/>
  <c r="B45" i="1"/>
  <c r="J44" i="1"/>
  <c r="I44" i="1" s="1"/>
  <c r="E44" i="1"/>
  <c r="D44" i="1"/>
  <c r="J43" i="1"/>
  <c r="I43" i="1" s="1"/>
  <c r="E43" i="1"/>
  <c r="D43" i="1"/>
  <c r="H42" i="1"/>
  <c r="J42" i="1" s="1"/>
  <c r="E42" i="1"/>
  <c r="D42" i="1" s="1"/>
  <c r="C42" i="1"/>
  <c r="H40" i="1"/>
  <c r="G40" i="1"/>
  <c r="C40" i="1"/>
  <c r="B40" i="1"/>
  <c r="J39" i="1"/>
  <c r="J38" i="1" s="1"/>
  <c r="I39" i="1"/>
  <c r="D39" i="1"/>
  <c r="H38" i="1"/>
  <c r="H47" i="1" s="1"/>
  <c r="G38" i="1"/>
  <c r="G47" i="1" s="1"/>
  <c r="E38" i="1"/>
  <c r="C38" i="1"/>
  <c r="C47" i="1" s="1"/>
  <c r="B38" i="1"/>
  <c r="B47" i="1" s="1"/>
  <c r="H35" i="1"/>
  <c r="E34" i="1"/>
  <c r="D34" i="1"/>
  <c r="E33" i="1"/>
  <c r="D33" i="1" s="1"/>
  <c r="C32" i="1"/>
  <c r="C35" i="1" s="1"/>
  <c r="C49" i="1" s="1"/>
  <c r="B32" i="1"/>
  <c r="B35" i="1" s="1"/>
  <c r="E31" i="1"/>
  <c r="D31" i="1" s="1"/>
  <c r="E30" i="1"/>
  <c r="D30" i="1" s="1"/>
  <c r="E29" i="1"/>
  <c r="D29" i="1" s="1"/>
  <c r="D28" i="1"/>
  <c r="E27" i="1"/>
  <c r="D27" i="1" s="1"/>
  <c r="E25" i="1"/>
  <c r="D25" i="1"/>
  <c r="E24" i="1"/>
  <c r="D24" i="1" s="1"/>
  <c r="C24" i="1"/>
  <c r="B24" i="1"/>
  <c r="E23" i="1"/>
  <c r="D23" i="1" s="1"/>
  <c r="E22" i="1"/>
  <c r="D22" i="1"/>
  <c r="D21" i="1"/>
  <c r="J20" i="1"/>
  <c r="I20" i="1"/>
  <c r="D20" i="1"/>
  <c r="D19" i="1"/>
  <c r="J18" i="1"/>
  <c r="I18" i="1"/>
  <c r="D18" i="1"/>
  <c r="J17" i="1"/>
  <c r="I17" i="1" s="1"/>
  <c r="C17" i="1"/>
  <c r="B17" i="1"/>
  <c r="D16" i="1"/>
  <c r="J15" i="1"/>
  <c r="I15" i="1"/>
  <c r="E15" i="1"/>
  <c r="E14" i="1"/>
  <c r="D14" i="1"/>
  <c r="J13" i="1"/>
  <c r="I13" i="1" s="1"/>
  <c r="E13" i="1"/>
  <c r="D13" i="1"/>
  <c r="J12" i="1"/>
  <c r="I12" i="1" s="1"/>
  <c r="E12" i="1"/>
  <c r="C12" i="1"/>
  <c r="D12" i="1" s="1"/>
  <c r="B12" i="1"/>
  <c r="J11" i="1"/>
  <c r="I11" i="1"/>
  <c r="E11" i="1"/>
  <c r="D11" i="1" s="1"/>
  <c r="E10" i="1"/>
  <c r="D10" i="1"/>
  <c r="J9" i="1"/>
  <c r="I9" i="1" s="1"/>
  <c r="H9" i="1"/>
  <c r="G9" i="1"/>
  <c r="E9" i="1"/>
  <c r="D9" i="1" s="1"/>
  <c r="J8" i="1"/>
  <c r="I8" i="1"/>
  <c r="E8" i="1"/>
  <c r="D8" i="1" s="1"/>
  <c r="J7" i="1"/>
  <c r="I7" i="1"/>
  <c r="E7" i="1"/>
  <c r="D7" i="1" s="1"/>
  <c r="C7" i="1"/>
  <c r="B7" i="1"/>
  <c r="J6" i="1"/>
  <c r="I6" i="1" s="1"/>
  <c r="D6" i="1"/>
  <c r="J5" i="1"/>
  <c r="I5" i="1"/>
  <c r="E5" i="1"/>
  <c r="D5" i="1"/>
  <c r="D4" i="1"/>
  <c r="J3" i="1"/>
  <c r="J35" i="1" s="1"/>
  <c r="H3" i="1"/>
  <c r="G3" i="1"/>
  <c r="G35" i="1" s="1"/>
  <c r="G49" i="1" s="1"/>
  <c r="E3" i="1"/>
  <c r="D3" i="1" s="1"/>
  <c r="C3" i="1"/>
  <c r="B3" i="1"/>
  <c r="F71" i="2"/>
  <c r="E71" i="2"/>
  <c r="F69" i="2"/>
  <c r="E69" i="2"/>
  <c r="F67" i="2"/>
  <c r="E67" i="2"/>
  <c r="F66" i="2"/>
  <c r="E66" i="2"/>
  <c r="F65" i="2"/>
  <c r="E65" i="2"/>
  <c r="F63" i="2"/>
  <c r="F76" i="2" s="1"/>
  <c r="E63" i="2"/>
  <c r="E76" i="2" s="1"/>
  <c r="F37" i="2"/>
  <c r="E35" i="2"/>
  <c r="E34" i="2"/>
  <c r="F33" i="2"/>
  <c r="E33" i="2"/>
  <c r="F28" i="2"/>
  <c r="E28" i="2"/>
  <c r="F27" i="2"/>
  <c r="E27" i="2"/>
  <c r="F26" i="2"/>
  <c r="E26" i="2"/>
  <c r="E22" i="2"/>
  <c r="E16" i="2"/>
  <c r="F15" i="2"/>
  <c r="E15" i="2"/>
  <c r="E13" i="2"/>
  <c r="F12" i="2"/>
  <c r="E12" i="2"/>
  <c r="F11" i="2"/>
  <c r="E11" i="2"/>
  <c r="F10" i="2"/>
  <c r="E10" i="2"/>
  <c r="F9" i="2"/>
  <c r="E9" i="2"/>
  <c r="F8" i="2"/>
  <c r="E8" i="2"/>
  <c r="F7" i="2"/>
  <c r="E7" i="2"/>
  <c r="E61" i="2" s="1"/>
  <c r="F6" i="2"/>
  <c r="F61" i="2" s="1"/>
  <c r="E6" i="2"/>
  <c r="I35" i="1" l="1"/>
  <c r="B49" i="1"/>
  <c r="I42" i="1"/>
  <c r="J40" i="1"/>
  <c r="I40" i="1" s="1"/>
  <c r="H49" i="1"/>
  <c r="I38" i="1"/>
  <c r="D38" i="1"/>
  <c r="E40" i="1"/>
  <c r="E17" i="1"/>
  <c r="D17" i="1" s="1"/>
  <c r="I3" i="1"/>
  <c r="E32" i="1"/>
  <c r="F77" i="2"/>
  <c r="J47" i="1" l="1"/>
  <c r="E47" i="1"/>
  <c r="D47" i="1" s="1"/>
  <c r="D40" i="1"/>
  <c r="E35" i="1"/>
  <c r="D32" i="1"/>
  <c r="E49" i="1" l="1"/>
  <c r="D49" i="1" s="1"/>
  <c r="D35" i="1"/>
  <c r="I47" i="1"/>
  <c r="J49" i="1"/>
</calcChain>
</file>

<file path=xl/sharedStrings.xml><?xml version="1.0" encoding="utf-8"?>
<sst xmlns="http://schemas.openxmlformats.org/spreadsheetml/2006/main" count="275" uniqueCount="191">
  <si>
    <t>Prévisions 2015</t>
  </si>
  <si>
    <t>Réalisé 2015</t>
  </si>
  <si>
    <t>Variation</t>
  </si>
  <si>
    <t>Probable 2015</t>
  </si>
  <si>
    <t>Dépenses</t>
  </si>
  <si>
    <t>Recettes</t>
  </si>
  <si>
    <t>Matériel pédagogique et de présentation</t>
  </si>
  <si>
    <t>Produits</t>
  </si>
  <si>
    <t>Matériel pédagogique</t>
  </si>
  <si>
    <t>achat de matériel pédagogique ou de prévention à faire</t>
  </si>
  <si>
    <t>Matériel de présentation (stand)/flyers casques</t>
  </si>
  <si>
    <t>Vente Casques</t>
  </si>
  <si>
    <t>Frais de port</t>
  </si>
  <si>
    <t>Vente Bouchons</t>
  </si>
  <si>
    <t>Actions de sensibilisation</t>
  </si>
  <si>
    <t>Vente spectacle ou autres prestations</t>
  </si>
  <si>
    <t>Peace&amp;Lobe prévus oct-décembre 2015 = 14 séances dont 8 payées par les organisateurs locaux</t>
  </si>
  <si>
    <t>Concerts pédagogiques</t>
  </si>
  <si>
    <t>Presta AGI-SON</t>
  </si>
  <si>
    <t>Contribution AGI-SON (plate-forme nationale EdukSon)</t>
  </si>
  <si>
    <t>Subventions</t>
  </si>
  <si>
    <t>Prévision de 2 A/R reims-Paris d'ici fin décembre</t>
  </si>
  <si>
    <t>Actions conventionnées ARS 2014*</t>
  </si>
  <si>
    <t>ARS</t>
  </si>
  <si>
    <t>3 actions partenaires acceptées avant juin à venir : Audition solidarité, MFR, Ludoval</t>
  </si>
  <si>
    <t>Actions conventionnées ARS 2015</t>
  </si>
  <si>
    <t>* Report N-1**</t>
  </si>
  <si>
    <t>Matériel de prévention</t>
  </si>
  <si>
    <t>* Fonctionnement propre</t>
  </si>
  <si>
    <t>4 actions partenaires déjà accéptées ou  probablement déposées d'ici fin d'année : Son des choses, Lycée Decomble, Soupe aux oreilles, Lycée Malaise</t>
  </si>
  <si>
    <t>Casques</t>
  </si>
  <si>
    <t>* Actions conventionnées 2015</t>
  </si>
  <si>
    <t>Bouchons</t>
  </si>
  <si>
    <t>Variation stock</t>
  </si>
  <si>
    <t>CR Santé</t>
  </si>
  <si>
    <t>Création Peace&amp;Lobe</t>
  </si>
  <si>
    <t>Ville de Reims</t>
  </si>
  <si>
    <t>Salaires</t>
  </si>
  <si>
    <t>Ville de Reims : report N-1</t>
  </si>
  <si>
    <t>Bouchons mousse payés directement par le Polca suite à la baisse de dotation AGI-SON</t>
  </si>
  <si>
    <t>Deplacements/hébergement/restau artistes</t>
  </si>
  <si>
    <t>Achat Mac</t>
  </si>
  <si>
    <t>Autres (MAIF, SNCF, Mutualité, Audiens…)</t>
  </si>
  <si>
    <t>Valeur du stock prévisionnel de bouchons et casques de fin d'année différent du début</t>
  </si>
  <si>
    <t>Petit matériel</t>
  </si>
  <si>
    <t>Communication (livret et plaquette) / Graphistes</t>
  </si>
  <si>
    <t>Prévision de retirage du livret pédagogique P&amp;Lobe + stickers AGI-SON Mois de Gestion sonore + réalisation de plaquettes A4 plié pour les élèves</t>
  </si>
  <si>
    <t>Communication / impressions</t>
  </si>
  <si>
    <t>Report N+1</t>
  </si>
  <si>
    <t>Gestion, administration</t>
  </si>
  <si>
    <t xml:space="preserve">Coordination (salaire), dont : </t>
  </si>
  <si>
    <t>Salaires prévus d'ici fin décembre</t>
  </si>
  <si>
    <t>salaire brut
charges
Provisions en cas de licenciement économique</t>
  </si>
  <si>
    <t>21 528 €
8 964 €
2500 €</t>
  </si>
  <si>
    <t>16 025 €
5 844 €
0 €</t>
  </si>
  <si>
    <t>Déplacements/Restau/Hebergemt</t>
  </si>
  <si>
    <t>Prorata des déplacements jusque fin septembre</t>
  </si>
  <si>
    <t>Carburant</t>
  </si>
  <si>
    <t>Prorata des dépenses jusque fin septembre + equivalent 2014</t>
  </si>
  <si>
    <t>Frais divers (fournitures, locaux, voiture, poste, telephone, assurance…)</t>
  </si>
  <si>
    <t>Adhésion AGI-SON</t>
  </si>
  <si>
    <t>Mission AGI-SON</t>
  </si>
  <si>
    <t>Formation</t>
  </si>
  <si>
    <t>Frais repas</t>
  </si>
  <si>
    <t>Inscription Adhérents</t>
  </si>
  <si>
    <t>Formation effectuée, facturation cartonnerie à venir</t>
  </si>
  <si>
    <t>Total Dépenses</t>
  </si>
  <si>
    <t>Total Recettes</t>
  </si>
  <si>
    <t>Emploi des contributions volontaires</t>
  </si>
  <si>
    <t>Contributions volontaires</t>
  </si>
  <si>
    <t>Agi-Son</t>
  </si>
  <si>
    <t>Bouchons et documentation</t>
  </si>
  <si>
    <t>Lieux de diffusion</t>
  </si>
  <si>
    <t>Mise à disposition lieu et personnel :</t>
  </si>
  <si>
    <t>Salles accueil concerts peace &amp; Lobe</t>
  </si>
  <si>
    <t>Salles accueil peace &amp; Lobe</t>
  </si>
  <si>
    <t>Actions de prévention organisées localement par les adhérents Polca</t>
  </si>
  <si>
    <t>Résidence consolidation peace &amp; Lobe</t>
  </si>
  <si>
    <t>Flap / Cabaret Vert</t>
  </si>
  <si>
    <t>Mise à disposition de casques</t>
  </si>
  <si>
    <t>Total Contributions Volontaires</t>
  </si>
  <si>
    <t>TOTAL DES CHARGES</t>
  </si>
  <si>
    <t>TOTAL DES PRODUITS</t>
  </si>
  <si>
    <t>* Par convention avec l'ARS, le Polca dispose d'une enveloppe budgétaire specifique de 9000 euros pour la mise en place de partenariats, par convention, avec d'autres structures de prévention en région ou hors région, afin de faire bénéficier la population du territoire champardennais d'un maximum d'action.</t>
  </si>
  <si>
    <t>** Le versement tardif de la subvention ARS (septembre 2014) n'a pas permis sa consommation complète avant la fin de l'année. En accord avec le financeur, le reliquat est reporté pour consommation avant juin 2015.</t>
  </si>
  <si>
    <t>BUDGET PREVISIONNEL ET PROBABLE RISQUES AUDITIFS POLCA 2015</t>
  </si>
  <si>
    <t>Prévisionnel</t>
  </si>
  <si>
    <t>Probable</t>
  </si>
  <si>
    <t>Explication des prévisions</t>
  </si>
  <si>
    <t>Explication des différences Prévisions/Probable</t>
  </si>
  <si>
    <t>CHARGES</t>
  </si>
  <si>
    <t>Variation stocks</t>
  </si>
  <si>
    <t>Stocks bouchons et casques restants au 31/12/2014</t>
  </si>
  <si>
    <t>Stocks bouchons et casques restants au 31/12/2015</t>
  </si>
  <si>
    <t xml:space="preserve">Prestations Diverses </t>
  </si>
  <si>
    <t>CCP gestion sonore : frais d'inscription d'adhérents + mission AGI-SON</t>
  </si>
  <si>
    <t>coût inférieur de la mission AGI-SON</t>
  </si>
  <si>
    <t>Prestations d'organisation et d'accueil</t>
  </si>
  <si>
    <t>Concerts péda + autres actions +salaires résidence</t>
  </si>
  <si>
    <t>Prestation graphisme</t>
  </si>
  <si>
    <t>Livret péda+flys festivals</t>
  </si>
  <si>
    <t>réalisation d'une plaquette élèves en sus</t>
  </si>
  <si>
    <t>Prestations Administratives</t>
  </si>
  <si>
    <t>Christel</t>
  </si>
  <si>
    <t xml:space="preserve">Carburant </t>
  </si>
  <si>
    <t>idem 2014</t>
  </si>
  <si>
    <t>estimation au 30/9/15 - à ajuster en fin d'année ?</t>
  </si>
  <si>
    <t>Fournitures Petits Equipements</t>
  </si>
  <si>
    <t>matériel stand + divers matériel Peace&amp;Lobe (cables etc)</t>
  </si>
  <si>
    <t>achat de matériel pédagogique en sus</t>
  </si>
  <si>
    <t>Fournitures de bureau</t>
  </si>
  <si>
    <t>besoins inférieurs à 2014</t>
  </si>
  <si>
    <t>Billetterie spectacles</t>
  </si>
  <si>
    <t>Achats casques auditifs</t>
  </si>
  <si>
    <t>bouchons et casques</t>
  </si>
  <si>
    <t>ventes supérieures aux prévisions</t>
  </si>
  <si>
    <t>Redevance Crédit Bail "DACIA" - Natixis</t>
  </si>
  <si>
    <t>Location véhicules</t>
  </si>
  <si>
    <t>location matériel</t>
  </si>
  <si>
    <t>Locations autres</t>
  </si>
  <si>
    <t>Entretien Réparation Véhicule</t>
  </si>
  <si>
    <t>Maintenance</t>
  </si>
  <si>
    <t>Primes d'assurance</t>
  </si>
  <si>
    <t>Documentation Générale</t>
  </si>
  <si>
    <t>Honoraires</t>
  </si>
  <si>
    <t>Communication</t>
  </si>
  <si>
    <t>Catalogues et imprimés</t>
  </si>
  <si>
    <t>impession livret péda+flys festivals</t>
  </si>
  <si>
    <t>réalisation d'une plaquette élèves en sus + impression stickers casques et boites de bouchons</t>
  </si>
  <si>
    <t>Transport sur achats</t>
  </si>
  <si>
    <t>coût surestimé</t>
  </si>
  <si>
    <t>Frais de déplacement</t>
  </si>
  <si>
    <t>coord + artistes sur la créa</t>
  </si>
  <si>
    <t>Péages et Parking</t>
  </si>
  <si>
    <t>Indemnités Kilométriques</t>
  </si>
  <si>
    <t>Restauration</t>
  </si>
  <si>
    <t>Hébergement</t>
  </si>
  <si>
    <t>Réception</t>
  </si>
  <si>
    <t>repas CCP</t>
  </si>
  <si>
    <t>frais postaux et affranchissements</t>
  </si>
  <si>
    <t xml:space="preserve">Téléphone </t>
  </si>
  <si>
    <t>Services bancaires et assimiles</t>
  </si>
  <si>
    <t>Cotisations</t>
  </si>
  <si>
    <t>adhésion AGI-SON</t>
  </si>
  <si>
    <t>Formation professionnelle continue</t>
  </si>
  <si>
    <t>calcul réel</t>
  </si>
  <si>
    <t>Congés payes</t>
  </si>
  <si>
    <t>Primes et gratifications</t>
  </si>
  <si>
    <t xml:space="preserve">Urssaf / Pole Emploi </t>
  </si>
  <si>
    <t>UGRR - Arcco</t>
  </si>
  <si>
    <t>AG2R Prévoyance</t>
  </si>
  <si>
    <t xml:space="preserve">UGRR - Cadres </t>
  </si>
  <si>
    <t>Charges sur congés payés</t>
  </si>
  <si>
    <t xml:space="preserve">Charges sur primes à payer </t>
  </si>
  <si>
    <t>médecine du travail</t>
  </si>
  <si>
    <t xml:space="preserve">Mson des artistes - Reversement des cotisations </t>
  </si>
  <si>
    <t>Indemnités services civiques</t>
  </si>
  <si>
    <t>Droits d'auteurs</t>
  </si>
  <si>
    <t>Redevance hébergement</t>
  </si>
  <si>
    <t>Autres charges de gestion courante</t>
  </si>
  <si>
    <t xml:space="preserve">Charges d'Intérêts bancaires </t>
  </si>
  <si>
    <t>Amendes et Pénalités</t>
  </si>
  <si>
    <t>Charges des exercices antérieurs</t>
  </si>
  <si>
    <t>DAP immos incorporelles</t>
  </si>
  <si>
    <t>achat mac Peace&amp;Lobe</t>
  </si>
  <si>
    <t>DAP Charges exploitations</t>
  </si>
  <si>
    <t>Prov pour risques et charges d'exploitation</t>
  </si>
  <si>
    <t>Provision pour clients douteux</t>
  </si>
  <si>
    <t>PRODUITS</t>
  </si>
  <si>
    <t>Produits Risques Auditifs</t>
  </si>
  <si>
    <t>Cotisation</t>
  </si>
  <si>
    <t xml:space="preserve">Prestations diverses </t>
  </si>
  <si>
    <t>AGI-SON + vente spectacle et formations</t>
  </si>
  <si>
    <t>Région Champagne -Ardenne</t>
  </si>
  <si>
    <t>Subvention Ville de Reims</t>
  </si>
  <si>
    <t>1000 de 2014 + 2000 de 2015</t>
  </si>
  <si>
    <t>Subvention DRAC</t>
  </si>
  <si>
    <t>Subvention ARS Champagne Ardenne</t>
  </si>
  <si>
    <t>30000+9000+18124</t>
  </si>
  <si>
    <t>Subvention Service Civique</t>
  </si>
  <si>
    <t>Partenariats</t>
  </si>
  <si>
    <t>3000 mutualité + 2500 autres</t>
  </si>
  <si>
    <t>3000 mutualité + 500 MAIF</t>
  </si>
  <si>
    <t>Produits divers de gestion courante</t>
  </si>
  <si>
    <t>Intérêts</t>
  </si>
  <si>
    <t>Produits des exercices antérieurs</t>
  </si>
  <si>
    <t xml:space="preserve">Transfert de Charges </t>
  </si>
  <si>
    <t>Transfert N+1</t>
  </si>
  <si>
    <t>pas de licenciement en 2015</t>
  </si>
  <si>
    <t>Ventes encarts publicitaires Zic Boom</t>
  </si>
  <si>
    <t>21 341 €
7 669 €
0 €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</si>
</sst>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Red]\-#,##0,\€"/>
    <numFmt numFmtId="165" formatCode="#,##0\ &quot;€&quot;"/>
    <numFmt numFmtId="166" formatCode="_-* #,##0\ &quot;€&quot;_-;\-* #,##0\ &quot;€&quot;_-;_-* &quot;-&quot;??\ &quot;€&quot;_-;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rgb="FF000000"/>
      <name val="Calibri"/>
      <family val="2"/>
      <charset val="1"/>
    </font>
    <font>
      <b/>
      <sz val="9"/>
      <color rgb="FFFFFFFF"/>
      <name val="Calibri"/>
      <family val="2"/>
      <charset val="1"/>
    </font>
    <font>
      <b/>
      <sz val="9"/>
      <color theme="0"/>
      <name val="Calibri"/>
      <family val="2"/>
      <charset val="1"/>
    </font>
    <font>
      <sz val="9"/>
      <color rgb="FF000000"/>
      <name val="Calibri"/>
      <family val="2"/>
      <charset val="1"/>
    </font>
    <font>
      <sz val="9"/>
      <color rgb="FF000000"/>
      <name val="Calibri"/>
      <family val="2"/>
    </font>
    <font>
      <sz val="9"/>
      <name val="Calibri"/>
      <family val="2"/>
      <charset val="1"/>
    </font>
    <font>
      <b/>
      <sz val="9"/>
      <color theme="1"/>
      <name val="Calibri"/>
      <family val="2"/>
      <scheme val="minor"/>
    </font>
    <font>
      <sz val="11"/>
      <color rgb="FF324354"/>
      <name val="Calibri"/>
      <family val="2"/>
      <scheme val="minor"/>
    </font>
    <font>
      <b/>
      <sz val="11"/>
      <color rgb="FF324354"/>
      <name val="Calibri"/>
      <family val="2"/>
      <scheme val="minor"/>
    </font>
    <font>
      <sz val="11"/>
      <name val="Calibri"/>
      <family val="2"/>
      <scheme val="minor"/>
    </font>
    <font>
      <i/>
      <sz val="11"/>
      <color rgb="FFFF0000"/>
      <name val="Calibri"/>
      <family val="2"/>
      <scheme val="minor"/>
    </font>
  </fonts>
  <fills count="16">
    <fill>
      <patternFill patternType="none"/>
    </fill>
    <fill>
      <patternFill patternType="gray125"/>
    </fill>
    <fill>
      <patternFill patternType="solid">
        <fgColor rgb="FF000000"/>
        <bgColor rgb="FF003300"/>
      </patternFill>
    </fill>
    <fill>
      <patternFill patternType="solid">
        <fgColor rgb="FFFF0000"/>
        <bgColor rgb="FFFFFF00"/>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s>
  <borders count="23">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16">
    <xf numFmtId="0" fontId="0" fillId="0" borderId="0" xfId="0"/>
    <xf numFmtId="0" fontId="4" fillId="0" borderId="1" xfId="0" applyFont="1" applyBorder="1"/>
    <xf numFmtId="0" fontId="5" fillId="2" borderId="2" xfId="0" applyFont="1" applyFill="1" applyBorder="1"/>
    <xf numFmtId="164" fontId="5" fillId="2" borderId="3" xfId="0" applyNumberFormat="1" applyFont="1" applyFill="1" applyBorder="1" applyAlignment="1">
      <alignment horizontal="right"/>
    </xf>
    <xf numFmtId="0" fontId="6" fillId="3" borderId="1" xfId="0" applyFont="1" applyFill="1" applyBorder="1"/>
    <xf numFmtId="165" fontId="6" fillId="3" borderId="1" xfId="0" applyNumberFormat="1" applyFont="1" applyFill="1" applyBorder="1"/>
    <xf numFmtId="0" fontId="7" fillId="0" borderId="1" xfId="0" applyFont="1" applyBorder="1" applyAlignment="1">
      <alignment horizontal="left"/>
    </xf>
    <xf numFmtId="165" fontId="7" fillId="0" borderId="1" xfId="0" applyNumberFormat="1" applyFont="1" applyBorder="1" applyAlignment="1">
      <alignment horizontal="left"/>
    </xf>
    <xf numFmtId="165" fontId="7" fillId="4" borderId="1" xfId="0" applyNumberFormat="1" applyFont="1" applyFill="1" applyBorder="1" applyAlignment="1">
      <alignment horizontal="left"/>
    </xf>
    <xf numFmtId="0" fontId="8" fillId="0" borderId="1" xfId="0" applyFont="1" applyBorder="1"/>
    <xf numFmtId="165" fontId="8" fillId="0" borderId="1" xfId="0" applyNumberFormat="1" applyFont="1" applyBorder="1" applyAlignment="1">
      <alignment horizontal="right"/>
    </xf>
    <xf numFmtId="165" fontId="7" fillId="5" borderId="1" xfId="0" applyNumberFormat="1" applyFont="1" applyFill="1" applyBorder="1" applyAlignment="1">
      <alignment horizontal="left"/>
    </xf>
    <xf numFmtId="165" fontId="7" fillId="0" borderId="1" xfId="0" applyNumberFormat="1" applyFont="1" applyBorder="1" applyAlignment="1">
      <alignment horizontal="left" wrapText="1"/>
    </xf>
    <xf numFmtId="165" fontId="7" fillId="6" borderId="1" xfId="0" applyNumberFormat="1" applyFont="1" applyFill="1" applyBorder="1" applyAlignment="1">
      <alignment horizontal="left"/>
    </xf>
    <xf numFmtId="165" fontId="7" fillId="7" borderId="1" xfId="0" applyNumberFormat="1" applyFont="1" applyFill="1" applyBorder="1" applyAlignment="1">
      <alignment horizontal="left"/>
    </xf>
    <xf numFmtId="0" fontId="7" fillId="0" borderId="1" xfId="0" applyFont="1" applyBorder="1"/>
    <xf numFmtId="165" fontId="7" fillId="0" borderId="1" xfId="0" applyNumberFormat="1" applyFont="1" applyBorder="1" applyAlignment="1">
      <alignment horizontal="right"/>
    </xf>
    <xf numFmtId="165" fontId="7" fillId="8" borderId="1" xfId="0" applyNumberFormat="1" applyFont="1" applyFill="1" applyBorder="1" applyAlignment="1">
      <alignment horizontal="left"/>
    </xf>
    <xf numFmtId="0" fontId="9" fillId="0" borderId="1" xfId="0" applyFont="1" applyBorder="1"/>
    <xf numFmtId="165" fontId="7" fillId="9" borderId="1" xfId="0" applyNumberFormat="1" applyFont="1" applyFill="1" applyBorder="1" applyAlignment="1">
      <alignment horizontal="left"/>
    </xf>
    <xf numFmtId="0" fontId="7" fillId="0" borderId="1" xfId="0" applyFont="1" applyBorder="1" applyAlignment="1">
      <alignment wrapText="1"/>
    </xf>
    <xf numFmtId="165" fontId="7" fillId="11" borderId="1" xfId="0" applyNumberFormat="1" applyFont="1" applyFill="1" applyBorder="1" applyAlignment="1">
      <alignment horizontal="left"/>
    </xf>
    <xf numFmtId="0" fontId="7" fillId="0" borderId="1" xfId="0" applyFont="1" applyBorder="1" applyAlignment="1">
      <alignment horizontal="right" vertical="center" wrapText="1"/>
    </xf>
    <xf numFmtId="165" fontId="7" fillId="0" borderId="1" xfId="0" applyNumberFormat="1" applyFont="1" applyBorder="1" applyAlignment="1">
      <alignment horizontal="right" wrapText="1"/>
    </xf>
    <xf numFmtId="165" fontId="7" fillId="12" borderId="1" xfId="0" applyNumberFormat="1" applyFont="1" applyFill="1" applyBorder="1" applyAlignment="1">
      <alignment horizontal="left"/>
    </xf>
    <xf numFmtId="165" fontId="7" fillId="0" borderId="1" xfId="0" applyNumberFormat="1" applyFont="1" applyBorder="1"/>
    <xf numFmtId="0" fontId="5" fillId="2" borderId="1" xfId="0" applyFont="1" applyFill="1" applyBorder="1"/>
    <xf numFmtId="165" fontId="5" fillId="2" borderId="0" xfId="0" applyNumberFormat="1" applyFont="1" applyFill="1" applyBorder="1"/>
    <xf numFmtId="165" fontId="5" fillId="2" borderId="3" xfId="0" applyNumberFormat="1" applyFont="1" applyFill="1" applyBorder="1" applyAlignment="1">
      <alignment horizontal="right"/>
    </xf>
    <xf numFmtId="165" fontId="6" fillId="3" borderId="4" xfId="0" applyNumberFormat="1" applyFont="1" applyFill="1" applyBorder="1"/>
    <xf numFmtId="165" fontId="6" fillId="3" borderId="5" xfId="0" applyNumberFormat="1" applyFont="1" applyFill="1" applyBorder="1"/>
    <xf numFmtId="165" fontId="7" fillId="0" borderId="5" xfId="0" applyNumberFormat="1" applyFont="1" applyBorder="1" applyAlignment="1">
      <alignment horizontal="right"/>
    </xf>
    <xf numFmtId="0" fontId="0" fillId="0" borderId="1" xfId="0" applyBorder="1"/>
    <xf numFmtId="0" fontId="7" fillId="0" borderId="1" xfId="0" applyFont="1" applyBorder="1" applyAlignment="1">
      <alignment horizontal="right"/>
    </xf>
    <xf numFmtId="0" fontId="7" fillId="0" borderId="1" xfId="0" applyFont="1" applyBorder="1" applyAlignment="1">
      <alignment horizontal="right" wrapText="1"/>
    </xf>
    <xf numFmtId="165" fontId="7" fillId="0" borderId="6" xfId="0" applyNumberFormat="1" applyFont="1" applyBorder="1" applyAlignment="1">
      <alignment horizontal="right"/>
    </xf>
    <xf numFmtId="165" fontId="0" fillId="0" borderId="0" xfId="0" applyNumberFormat="1"/>
    <xf numFmtId="165" fontId="0" fillId="0" borderId="0" xfId="0" applyNumberFormat="1" applyAlignment="1">
      <alignment horizontal="right"/>
    </xf>
    <xf numFmtId="0" fontId="0" fillId="0" borderId="0" xfId="0" applyFont="1" applyBorder="1"/>
    <xf numFmtId="166" fontId="0" fillId="0" borderId="0" xfId="1" applyNumberFormat="1" applyFont="1" applyBorder="1"/>
    <xf numFmtId="0" fontId="0" fillId="0" borderId="0" xfId="0" applyFont="1" applyBorder="1" applyAlignment="1">
      <alignment horizontal="center" wrapText="1"/>
    </xf>
    <xf numFmtId="0" fontId="3" fillId="0" borderId="0" xfId="0" applyFont="1" applyBorder="1" applyAlignment="1">
      <alignment horizontal="center" vertical="top"/>
    </xf>
    <xf numFmtId="0" fontId="0" fillId="0" borderId="0" xfId="0" applyAlignment="1">
      <alignment horizontal="center" vertical="top"/>
    </xf>
    <xf numFmtId="0" fontId="3" fillId="0" borderId="0" xfId="0" applyFont="1" applyBorder="1" applyAlignment="1">
      <alignment horizontal="center" vertical="top" wrapText="1"/>
    </xf>
    <xf numFmtId="0" fontId="3" fillId="0" borderId="0" xfId="0" applyFont="1" applyFill="1" applyBorder="1" applyAlignment="1">
      <alignment horizontal="center" vertical="top"/>
    </xf>
    <xf numFmtId="0" fontId="0" fillId="0" borderId="0" xfId="0" applyFill="1" applyAlignment="1">
      <alignment horizontal="center" vertical="top"/>
    </xf>
    <xf numFmtId="166" fontId="3" fillId="0" borderId="0" xfId="1" applyNumberFormat="1" applyFont="1" applyFill="1" applyBorder="1" applyAlignment="1">
      <alignment horizontal="center" vertical="top"/>
    </xf>
    <xf numFmtId="0" fontId="3" fillId="0" borderId="0" xfId="0" applyFont="1" applyFill="1" applyBorder="1" applyAlignment="1">
      <alignment horizontal="center" vertical="top" wrapText="1"/>
    </xf>
    <xf numFmtId="0" fontId="3" fillId="0" borderId="0" xfId="0" applyFont="1" applyBorder="1"/>
    <xf numFmtId="166" fontId="3" fillId="0" borderId="2" xfId="1" applyNumberFormat="1" applyFont="1" applyBorder="1" applyAlignment="1">
      <alignment horizontal="center" vertical="center"/>
    </xf>
    <xf numFmtId="0" fontId="3" fillId="0" borderId="2" xfId="0" applyFont="1" applyBorder="1" applyAlignment="1">
      <alignment horizontal="center" vertical="center" wrapText="1"/>
    </xf>
    <xf numFmtId="0" fontId="0" fillId="0" borderId="8" xfId="0" applyBorder="1"/>
    <xf numFmtId="0" fontId="0" fillId="0" borderId="9" xfId="0" applyBorder="1"/>
    <xf numFmtId="166" fontId="11" fillId="0" borderId="4" xfId="1" applyNumberFormat="1" applyFont="1" applyBorder="1" applyAlignment="1">
      <alignment vertical="center"/>
    </xf>
    <xf numFmtId="0" fontId="0" fillId="0" borderId="4" xfId="0" applyFont="1" applyBorder="1" applyAlignment="1">
      <alignment horizontal="center" wrapText="1"/>
    </xf>
    <xf numFmtId="0" fontId="0" fillId="0" borderId="7" xfId="0" applyBorder="1"/>
    <xf numFmtId="0" fontId="0" fillId="0" borderId="5" xfId="0" applyBorder="1"/>
    <xf numFmtId="166" fontId="11" fillId="0" borderId="1" xfId="1" applyNumberFormat="1" applyFont="1" applyBorder="1" applyAlignment="1">
      <alignment vertical="center"/>
    </xf>
    <xf numFmtId="0" fontId="0" fillId="0" borderId="1" xfId="0" applyFont="1" applyBorder="1" applyAlignment="1">
      <alignment horizontal="center" wrapText="1"/>
    </xf>
    <xf numFmtId="166" fontId="11" fillId="0" borderId="1" xfId="1" applyNumberFormat="1" applyFont="1" applyFill="1" applyBorder="1" applyAlignment="1">
      <alignment vertical="center"/>
    </xf>
    <xf numFmtId="0" fontId="0" fillId="0" borderId="1" xfId="0" applyFont="1" applyFill="1" applyBorder="1" applyAlignment="1">
      <alignment horizontal="center" wrapText="1"/>
    </xf>
    <xf numFmtId="0" fontId="0" fillId="0" borderId="10" xfId="0" applyBorder="1"/>
    <xf numFmtId="0" fontId="0" fillId="0" borderId="11" xfId="0" applyBorder="1"/>
    <xf numFmtId="0" fontId="0" fillId="0" borderId="12" xfId="0" applyFont="1" applyFill="1" applyBorder="1" applyAlignment="1">
      <alignment horizontal="center" wrapText="1"/>
    </xf>
    <xf numFmtId="0" fontId="0" fillId="0" borderId="13" xfId="0" applyBorder="1"/>
    <xf numFmtId="0" fontId="0" fillId="0" borderId="14" xfId="0" applyBorder="1"/>
    <xf numFmtId="166" fontId="11" fillId="0" borderId="15" xfId="1" applyNumberFormat="1" applyFont="1" applyBorder="1" applyAlignment="1">
      <alignment vertical="center"/>
    </xf>
    <xf numFmtId="0" fontId="0" fillId="0" borderId="15" xfId="0" applyFont="1" applyBorder="1" applyAlignment="1">
      <alignment horizontal="center" wrapText="1"/>
    </xf>
    <xf numFmtId="0" fontId="0" fillId="0" borderId="1" xfId="0" applyFont="1" applyBorder="1" applyAlignment="1">
      <alignment horizontal="center" vertical="center" wrapText="1"/>
    </xf>
    <xf numFmtId="166" fontId="11" fillId="0" borderId="12" xfId="1" applyNumberFormat="1" applyFont="1" applyBorder="1" applyAlignment="1">
      <alignment vertical="center"/>
    </xf>
    <xf numFmtId="0" fontId="0" fillId="0" borderId="16" xfId="0" applyBorder="1"/>
    <xf numFmtId="0" fontId="0" fillId="0" borderId="17" xfId="0" applyBorder="1"/>
    <xf numFmtId="166" fontId="11" fillId="0" borderId="18" xfId="1" applyNumberFormat="1" applyFont="1" applyBorder="1" applyAlignment="1">
      <alignment vertical="center"/>
    </xf>
    <xf numFmtId="0" fontId="0" fillId="0" borderId="18" xfId="0" applyFont="1" applyBorder="1" applyAlignment="1">
      <alignment horizontal="center" wrapText="1"/>
    </xf>
    <xf numFmtId="0" fontId="0" fillId="0" borderId="19" xfId="0" applyBorder="1"/>
    <xf numFmtId="0" fontId="0" fillId="0" borderId="20" xfId="0" applyBorder="1"/>
    <xf numFmtId="0" fontId="0" fillId="0" borderId="6" xfId="0" applyFont="1" applyBorder="1" applyAlignment="1">
      <alignment horizontal="center" wrapText="1"/>
    </xf>
    <xf numFmtId="166" fontId="12" fillId="0" borderId="2" xfId="1" applyNumberFormat="1" applyFont="1" applyBorder="1" applyAlignment="1">
      <alignment vertical="center"/>
    </xf>
    <xf numFmtId="0" fontId="0" fillId="0" borderId="0" xfId="0" applyFont="1" applyFill="1" applyBorder="1"/>
    <xf numFmtId="0" fontId="0" fillId="0" borderId="0" xfId="0" applyFill="1"/>
    <xf numFmtId="166" fontId="12" fillId="0" borderId="0" xfId="1" applyNumberFormat="1" applyFont="1" applyFill="1" applyBorder="1" applyAlignment="1">
      <alignment vertical="center"/>
    </xf>
    <xf numFmtId="0" fontId="0" fillId="0" borderId="0" xfId="0" applyFont="1" applyFill="1" applyBorder="1" applyAlignment="1">
      <alignment horizontal="center" wrapText="1"/>
    </xf>
    <xf numFmtId="166" fontId="11" fillId="0" borderId="3" xfId="1" applyNumberFormat="1" applyFont="1" applyBorder="1" applyAlignment="1">
      <alignment vertical="center"/>
    </xf>
    <xf numFmtId="166" fontId="11" fillId="0" borderId="0" xfId="1" applyNumberFormat="1" applyFont="1" applyBorder="1" applyAlignment="1">
      <alignment vertical="center"/>
    </xf>
    <xf numFmtId="166" fontId="11" fillId="0" borderId="21" xfId="1" applyNumberFormat="1" applyFont="1" applyBorder="1" applyAlignment="1">
      <alignment vertical="center"/>
    </xf>
    <xf numFmtId="0" fontId="3" fillId="0" borderId="1" xfId="0" applyFont="1" applyBorder="1" applyAlignment="1">
      <alignment horizontal="center" wrapText="1"/>
    </xf>
    <xf numFmtId="166" fontId="11" fillId="0" borderId="17" xfId="1" applyNumberFormat="1" applyFont="1" applyBorder="1" applyAlignment="1">
      <alignment vertical="center"/>
    </xf>
    <xf numFmtId="0" fontId="0" fillId="0" borderId="18" xfId="0" applyBorder="1" applyAlignment="1">
      <alignment horizontal="center" wrapText="1"/>
    </xf>
    <xf numFmtId="166" fontId="11" fillId="0" borderId="6" xfId="1" applyNumberFormat="1" applyFont="1" applyBorder="1" applyAlignment="1">
      <alignment vertical="center"/>
    </xf>
    <xf numFmtId="166" fontId="11" fillId="0" borderId="20" xfId="1" applyNumberFormat="1" applyFont="1" applyBorder="1" applyAlignment="1">
      <alignment vertical="center"/>
    </xf>
    <xf numFmtId="0" fontId="0" fillId="0" borderId="22" xfId="0" applyBorder="1" applyAlignment="1">
      <alignment horizontal="center" wrapText="1"/>
    </xf>
    <xf numFmtId="166" fontId="3" fillId="0" borderId="2" xfId="1" applyNumberFormat="1" applyFont="1" applyBorder="1"/>
    <xf numFmtId="166" fontId="3" fillId="0" borderId="0" xfId="1" applyNumberFormat="1" applyFont="1" applyBorder="1"/>
    <xf numFmtId="0" fontId="0" fillId="8" borderId="0" xfId="0" applyFill="1" applyAlignment="1">
      <alignment horizontal="center" wrapText="1"/>
    </xf>
    <xf numFmtId="0" fontId="0" fillId="9" borderId="0" xfId="0" applyFill="1" applyAlignment="1">
      <alignment horizontal="center"/>
    </xf>
    <xf numFmtId="0" fontId="0" fillId="5" borderId="0" xfId="0" applyFill="1" applyAlignment="1">
      <alignment horizontal="center" wrapText="1"/>
    </xf>
    <xf numFmtId="0" fontId="10" fillId="0" borderId="0" xfId="0" applyFont="1" applyBorder="1" applyAlignment="1">
      <alignment horizontal="center" wrapText="1"/>
    </xf>
    <xf numFmtId="0" fontId="0" fillId="9" borderId="0" xfId="0" applyFill="1" applyAlignment="1">
      <alignment horizont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0" fillId="5" borderId="0" xfId="0" applyFill="1" applyAlignment="1">
      <alignment horizontal="center"/>
    </xf>
    <xf numFmtId="0" fontId="0" fillId="6" borderId="0" xfId="0" applyFill="1" applyAlignment="1">
      <alignment horizontal="center"/>
    </xf>
    <xf numFmtId="0" fontId="0" fillId="12" borderId="0" xfId="0" applyFill="1" applyAlignment="1">
      <alignment horizontal="center" wrapText="1"/>
    </xf>
    <xf numFmtId="0" fontId="0" fillId="4" borderId="0" xfId="0" applyFill="1" applyAlignment="1">
      <alignment horizontal="center" wrapText="1"/>
    </xf>
    <xf numFmtId="0" fontId="0" fillId="7" borderId="0" xfId="0" applyFill="1" applyAlignment="1">
      <alignment horizontal="center" wrapText="1"/>
    </xf>
    <xf numFmtId="0" fontId="2" fillId="14" borderId="0" xfId="0" applyFont="1" applyFill="1" applyBorder="1" applyAlignment="1">
      <alignment horizontal="center" vertical="center" textRotation="90"/>
    </xf>
    <xf numFmtId="0" fontId="3" fillId="13" borderId="7" xfId="0" applyFont="1" applyFill="1" applyBorder="1" applyAlignment="1">
      <alignment horizontal="center" vertical="center"/>
    </xf>
    <xf numFmtId="0" fontId="3" fillId="13" borderId="0" xfId="0" applyFont="1" applyFill="1" applyBorder="1" applyAlignment="1">
      <alignment horizontal="center" vertical="center"/>
    </xf>
    <xf numFmtId="166" fontId="11" fillId="15" borderId="1" xfId="1" applyNumberFormat="1" applyFont="1" applyFill="1" applyBorder="1" applyAlignment="1">
      <alignment horizontal="center" vertical="center"/>
    </xf>
    <xf numFmtId="0" fontId="0" fillId="0" borderId="1" xfId="0" applyFont="1" applyBorder="1" applyAlignment="1">
      <alignment horizontal="center" vertical="center" wrapText="1"/>
    </xf>
    <xf numFmtId="166" fontId="11" fillId="0" borderId="1" xfId="1" applyNumberFormat="1" applyFont="1" applyBorder="1" applyAlignment="1">
      <alignment horizontal="center" vertical="center"/>
    </xf>
    <xf numFmtId="166" fontId="0" fillId="0" borderId="0" xfId="0" applyNumberFormat="1" applyFont="1" applyBorder="1"/>
    <xf numFmtId="0" fontId="13" fillId="0" borderId="0" xfId="0" applyFont="1" applyBorder="1"/>
    <xf numFmtId="0" fontId="13" fillId="0" borderId="0" xfId="0" applyFont="1"/>
    <xf numFmtId="0" fontId="13" fillId="0" borderId="0" xfId="0" applyFont="1" applyBorder="1" applyAlignment="1">
      <alignment horizontal="center" wrapText="1"/>
    </xf>
    <xf numFmtId="166" fontId="14" fillId="0" borderId="0" xfId="1" applyNumberFormat="1" applyFont="1" applyBorder="1"/>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RA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Recap"/>
      <sheetName val="Previs"/>
      <sheetName val="PrevisComptable"/>
      <sheetName val="Peace&amp;Lobe2015"/>
    </sheetNames>
    <sheetDataSet>
      <sheetData sheetId="0">
        <row r="75">
          <cell r="D75">
            <v>14668.96</v>
          </cell>
        </row>
      </sheetData>
      <sheetData sheetId="1">
        <row r="6">
          <cell r="B6">
            <v>200</v>
          </cell>
          <cell r="G6">
            <v>1000</v>
          </cell>
        </row>
        <row r="7">
          <cell r="B7">
            <v>200</v>
          </cell>
          <cell r="G7">
            <v>500</v>
          </cell>
        </row>
        <row r="8">
          <cell r="B8">
            <v>100</v>
          </cell>
          <cell r="G8">
            <v>450</v>
          </cell>
        </row>
        <row r="9">
          <cell r="B9">
            <v>50</v>
          </cell>
          <cell r="G9">
            <v>250</v>
          </cell>
        </row>
        <row r="10">
          <cell r="G10">
            <v>5200</v>
          </cell>
        </row>
        <row r="11">
          <cell r="B11">
            <v>19000</v>
          </cell>
        </row>
        <row r="12">
          <cell r="B12">
            <v>500</v>
          </cell>
        </row>
        <row r="13">
          <cell r="B13">
            <v>18000</v>
          </cell>
          <cell r="G13">
            <v>18124</v>
          </cell>
        </row>
        <row r="14">
          <cell r="G14">
            <v>30000</v>
          </cell>
        </row>
        <row r="15">
          <cell r="B15">
            <v>400</v>
          </cell>
          <cell r="G15">
            <v>9000</v>
          </cell>
        </row>
        <row r="16">
          <cell r="B16">
            <v>1700</v>
          </cell>
        </row>
        <row r="17">
          <cell r="B17">
            <v>2196</v>
          </cell>
          <cell r="G17">
            <v>20000</v>
          </cell>
        </row>
        <row r="18">
          <cell r="B18">
            <v>50</v>
          </cell>
        </row>
        <row r="19">
          <cell r="G19">
            <v>2000</v>
          </cell>
        </row>
        <row r="20">
          <cell r="B20">
            <v>4000</v>
          </cell>
          <cell r="G20">
            <v>1000</v>
          </cell>
        </row>
        <row r="21">
          <cell r="B21">
            <v>1900</v>
          </cell>
        </row>
        <row r="22">
          <cell r="G22">
            <v>6500</v>
          </cell>
        </row>
        <row r="23">
          <cell r="B23">
            <v>200</v>
          </cell>
        </row>
        <row r="24">
          <cell r="B24">
            <v>1200</v>
          </cell>
        </row>
        <row r="25">
          <cell r="B25">
            <v>300</v>
          </cell>
        </row>
        <row r="29">
          <cell r="B29">
            <v>1500</v>
          </cell>
        </row>
        <row r="30">
          <cell r="B30">
            <v>400</v>
          </cell>
        </row>
        <row r="31">
          <cell r="B31">
            <v>1500</v>
          </cell>
        </row>
        <row r="32">
          <cell r="B32">
            <v>271</v>
          </cell>
        </row>
        <row r="33">
          <cell r="B33">
            <v>500</v>
          </cell>
        </row>
        <row r="34">
          <cell r="B34">
            <v>200</v>
          </cell>
        </row>
        <row r="35">
          <cell r="B35">
            <v>50</v>
          </cell>
        </row>
        <row r="36">
          <cell r="B36">
            <v>650</v>
          </cell>
        </row>
        <row r="38">
          <cell r="B38">
            <v>5200</v>
          </cell>
        </row>
        <row r="40">
          <cell r="B40">
            <v>100</v>
          </cell>
        </row>
        <row r="41">
          <cell r="B41">
            <v>300</v>
          </cell>
        </row>
      </sheetData>
      <sheetData sheetId="2">
        <row r="4">
          <cell r="E4">
            <v>250</v>
          </cell>
        </row>
        <row r="5">
          <cell r="J5">
            <v>967</v>
          </cell>
        </row>
        <row r="6">
          <cell r="E6">
            <v>50</v>
          </cell>
          <cell r="J6">
            <v>986</v>
          </cell>
        </row>
        <row r="7">
          <cell r="J7">
            <v>983.52</v>
          </cell>
        </row>
        <row r="8">
          <cell r="E8">
            <v>20015</v>
          </cell>
          <cell r="J8">
            <v>3595</v>
          </cell>
        </row>
        <row r="9">
          <cell r="E9">
            <v>447.34</v>
          </cell>
        </row>
        <row r="10">
          <cell r="E10">
            <v>7097</v>
          </cell>
        </row>
        <row r="11">
          <cell r="E11">
            <v>7000</v>
          </cell>
          <cell r="J11">
            <v>18124</v>
          </cell>
        </row>
        <row r="12">
          <cell r="J12">
            <v>30000</v>
          </cell>
        </row>
        <row r="13">
          <cell r="E13">
            <v>1269.5</v>
          </cell>
          <cell r="J13">
            <v>9000</v>
          </cell>
        </row>
        <row r="14">
          <cell r="E14">
            <v>1651</v>
          </cell>
        </row>
        <row r="15">
          <cell r="E15">
            <v>-188</v>
          </cell>
          <cell r="J15">
            <v>20000</v>
          </cell>
        </row>
        <row r="16">
          <cell r="E16">
            <v>20</v>
          </cell>
        </row>
        <row r="17">
          <cell r="J17">
            <v>2000</v>
          </cell>
        </row>
        <row r="18">
          <cell r="E18">
            <v>3961.7</v>
          </cell>
          <cell r="J18">
            <v>1000</v>
          </cell>
        </row>
        <row r="19">
          <cell r="E19">
            <v>1677.38</v>
          </cell>
        </row>
        <row r="20">
          <cell r="J20">
            <v>3500</v>
          </cell>
        </row>
        <row r="21">
          <cell r="E21">
            <v>38.660000000000004</v>
          </cell>
        </row>
        <row r="22">
          <cell r="E22">
            <v>1740</v>
          </cell>
        </row>
        <row r="23">
          <cell r="E23">
            <v>1196.4000000000001</v>
          </cell>
        </row>
        <row r="27">
          <cell r="E27">
            <v>1791.55</v>
          </cell>
        </row>
        <row r="28">
          <cell r="E28">
            <v>500</v>
          </cell>
        </row>
        <row r="30">
          <cell r="E30">
            <v>100</v>
          </cell>
        </row>
        <row r="31">
          <cell r="E31">
            <v>3409</v>
          </cell>
        </row>
        <row r="33">
          <cell r="E33">
            <v>66.5</v>
          </cell>
        </row>
        <row r="34">
          <cell r="E34">
            <v>300</v>
          </cell>
        </row>
      </sheetData>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abSelected="1" topLeftCell="A52" workbookViewId="0">
      <selection activeCell="B54" sqref="B54"/>
    </sheetView>
  </sheetViews>
  <sheetFormatPr baseColWidth="10" defaultRowHeight="15" x14ac:dyDescent="0.25"/>
  <cols>
    <col min="1" max="1" width="39.140625" customWidth="1"/>
    <col min="2" max="5" width="14" customWidth="1"/>
    <col min="6" max="6" width="30.7109375" customWidth="1"/>
    <col min="7" max="8" width="15.140625" customWidth="1"/>
    <col min="9" max="10" width="11.5703125" customWidth="1"/>
  </cols>
  <sheetData>
    <row r="1" spans="1:15" ht="15.75" thickBot="1" x14ac:dyDescent="0.3">
      <c r="A1" s="1"/>
      <c r="B1" s="1" t="s">
        <v>0</v>
      </c>
      <c r="C1" s="1" t="s">
        <v>1</v>
      </c>
      <c r="D1" s="1" t="s">
        <v>2</v>
      </c>
      <c r="E1" s="1" t="s">
        <v>3</v>
      </c>
      <c r="F1" s="1"/>
      <c r="G1" s="1" t="s">
        <v>0</v>
      </c>
      <c r="H1" s="1" t="s">
        <v>1</v>
      </c>
      <c r="I1" s="1" t="s">
        <v>2</v>
      </c>
      <c r="J1" s="1" t="s">
        <v>3</v>
      </c>
    </row>
    <row r="2" spans="1:15" ht="15.75" thickBot="1" x14ac:dyDescent="0.3">
      <c r="A2" s="2" t="s">
        <v>4</v>
      </c>
      <c r="B2" s="3"/>
      <c r="C2" s="3"/>
      <c r="D2" s="3"/>
      <c r="E2" s="3"/>
      <c r="F2" s="2" t="s">
        <v>5</v>
      </c>
      <c r="G2" s="3"/>
      <c r="H2" s="3"/>
      <c r="I2" s="3"/>
      <c r="J2" s="3"/>
    </row>
    <row r="3" spans="1:15" x14ac:dyDescent="0.25">
      <c r="A3" s="4" t="s">
        <v>6</v>
      </c>
      <c r="B3" s="5">
        <f>SUM(B4:B6)</f>
        <v>550</v>
      </c>
      <c r="C3" s="5">
        <f>SUM(C4:C6)</f>
        <v>448.21</v>
      </c>
      <c r="D3" s="5">
        <f>E3-C3</f>
        <v>300.00000000000006</v>
      </c>
      <c r="E3" s="5">
        <f>SUM(E4:E6)</f>
        <v>748.21</v>
      </c>
      <c r="F3" s="4" t="s">
        <v>7</v>
      </c>
      <c r="G3" s="5">
        <f>SUM(G5:G8)</f>
        <v>7400</v>
      </c>
      <c r="H3" s="5">
        <f>SUM(H5:H8)</f>
        <v>4931.5200000000004</v>
      </c>
      <c r="I3" s="5">
        <f>J3-H3</f>
        <v>1600</v>
      </c>
      <c r="J3" s="5">
        <f>SUM(J5:J8)</f>
        <v>6531.52</v>
      </c>
    </row>
    <row r="4" spans="1:15" x14ac:dyDescent="0.25">
      <c r="A4" s="6" t="s">
        <v>8</v>
      </c>
      <c r="B4" s="7">
        <v>0</v>
      </c>
      <c r="C4" s="7">
        <v>0</v>
      </c>
      <c r="D4" s="8">
        <f t="shared" ref="D4:D35" si="0">E4-C4</f>
        <v>250</v>
      </c>
      <c r="E4" s="7">
        <v>250</v>
      </c>
      <c r="F4" s="9"/>
      <c r="G4" s="10"/>
      <c r="H4" s="10"/>
      <c r="I4" s="10"/>
      <c r="J4" s="10"/>
      <c r="L4" s="103" t="s">
        <v>9</v>
      </c>
      <c r="M4" s="103"/>
      <c r="N4" s="103"/>
      <c r="O4" s="103"/>
    </row>
    <row r="5" spans="1:15" x14ac:dyDescent="0.25">
      <c r="A5" s="6" t="s">
        <v>10</v>
      </c>
      <c r="B5" s="7">
        <v>500</v>
      </c>
      <c r="C5" s="7">
        <v>448.21</v>
      </c>
      <c r="D5" s="7">
        <f t="shared" si="0"/>
        <v>0</v>
      </c>
      <c r="E5" s="7">
        <f>C5</f>
        <v>448.21</v>
      </c>
      <c r="F5" s="9" t="s">
        <v>11</v>
      </c>
      <c r="G5" s="10">
        <v>1000</v>
      </c>
      <c r="H5" s="10">
        <v>967</v>
      </c>
      <c r="I5" s="7">
        <f t="shared" ref="I5:I8" si="1">J5-H5</f>
        <v>0</v>
      </c>
      <c r="J5" s="10">
        <f>H5</f>
        <v>967</v>
      </c>
      <c r="L5" s="103"/>
      <c r="M5" s="103"/>
      <c r="N5" s="103"/>
      <c r="O5" s="103"/>
    </row>
    <row r="6" spans="1:15" x14ac:dyDescent="0.25">
      <c r="A6" s="6" t="s">
        <v>12</v>
      </c>
      <c r="B6" s="7">
        <v>50</v>
      </c>
      <c r="C6" s="7">
        <v>0</v>
      </c>
      <c r="D6" s="8">
        <f t="shared" si="0"/>
        <v>50</v>
      </c>
      <c r="E6" s="7">
        <v>50</v>
      </c>
      <c r="F6" s="9" t="s">
        <v>13</v>
      </c>
      <c r="G6" s="10">
        <v>500</v>
      </c>
      <c r="H6" s="10">
        <v>986</v>
      </c>
      <c r="I6" s="7">
        <f t="shared" si="1"/>
        <v>0</v>
      </c>
      <c r="J6" s="10">
        <f>H6</f>
        <v>986</v>
      </c>
    </row>
    <row r="7" spans="1:15" x14ac:dyDescent="0.25">
      <c r="A7" s="4" t="s">
        <v>14</v>
      </c>
      <c r="B7" s="5">
        <f>SUM(B8:B11)</f>
        <v>37500</v>
      </c>
      <c r="C7" s="5">
        <f>SUM(C8:C11)</f>
        <v>15067.34</v>
      </c>
      <c r="D7" s="5">
        <f t="shared" si="0"/>
        <v>19491.999999999996</v>
      </c>
      <c r="E7" s="5">
        <f>SUM(E8:E11)</f>
        <v>34559.339999999997</v>
      </c>
      <c r="F7" s="9" t="s">
        <v>15</v>
      </c>
      <c r="G7" s="10">
        <v>700</v>
      </c>
      <c r="H7" s="10">
        <v>983.52</v>
      </c>
      <c r="I7" s="7">
        <f t="shared" si="1"/>
        <v>0</v>
      </c>
      <c r="J7" s="10">
        <f>H7</f>
        <v>983.52</v>
      </c>
      <c r="L7" s="95" t="s">
        <v>16</v>
      </c>
      <c r="M7" s="95"/>
      <c r="N7" s="95"/>
      <c r="O7" s="95"/>
    </row>
    <row r="8" spans="1:15" ht="15" customHeight="1" x14ac:dyDescent="0.25">
      <c r="A8" s="6" t="s">
        <v>17</v>
      </c>
      <c r="B8" s="7">
        <v>19000</v>
      </c>
      <c r="C8" s="7">
        <v>11800</v>
      </c>
      <c r="D8" s="11">
        <f t="shared" si="0"/>
        <v>8215</v>
      </c>
      <c r="E8" s="7">
        <f>C8+800+2500+2500+2415</f>
        <v>20015</v>
      </c>
      <c r="F8" s="9" t="s">
        <v>18</v>
      </c>
      <c r="G8" s="10">
        <v>5200</v>
      </c>
      <c r="H8" s="10">
        <v>1995</v>
      </c>
      <c r="I8" s="7">
        <f t="shared" si="1"/>
        <v>1600</v>
      </c>
      <c r="J8" s="10">
        <f>H8+1600</f>
        <v>3595</v>
      </c>
      <c r="L8" s="95"/>
      <c r="M8" s="95"/>
      <c r="N8" s="95"/>
      <c r="O8" s="95"/>
    </row>
    <row r="9" spans="1:15" ht="24.75" x14ac:dyDescent="0.25">
      <c r="A9" s="12" t="s">
        <v>19</v>
      </c>
      <c r="B9" s="7">
        <v>500</v>
      </c>
      <c r="C9" s="7">
        <v>267.33999999999997</v>
      </c>
      <c r="D9" s="13">
        <f t="shared" si="0"/>
        <v>180</v>
      </c>
      <c r="E9" s="7">
        <f>C9+180</f>
        <v>447.34</v>
      </c>
      <c r="F9" s="4" t="s">
        <v>20</v>
      </c>
      <c r="G9" s="5">
        <f>SUM(G10:G33)</f>
        <v>86624</v>
      </c>
      <c r="H9" s="5">
        <f>SUM(H10:H33)</f>
        <v>67524</v>
      </c>
      <c r="I9" s="5">
        <f>J9-H9</f>
        <v>11028</v>
      </c>
      <c r="J9" s="5">
        <f>SUM(J10:J33)</f>
        <v>78552</v>
      </c>
      <c r="L9" s="101" t="s">
        <v>21</v>
      </c>
      <c r="M9" s="101"/>
      <c r="N9" s="101"/>
      <c r="O9" s="101"/>
    </row>
    <row r="10" spans="1:15" ht="15" customHeight="1" x14ac:dyDescent="0.25">
      <c r="A10" s="6" t="s">
        <v>22</v>
      </c>
      <c r="B10" s="7">
        <v>9000</v>
      </c>
      <c r="C10" s="7">
        <v>3000</v>
      </c>
      <c r="D10" s="14">
        <f t="shared" si="0"/>
        <v>4097</v>
      </c>
      <c r="E10" s="7">
        <f>C10+2000+1265+832</f>
        <v>7097</v>
      </c>
      <c r="F10" s="15" t="s">
        <v>23</v>
      </c>
      <c r="G10" s="16"/>
      <c r="H10" s="16"/>
      <c r="I10" s="16"/>
      <c r="J10" s="16"/>
      <c r="L10" s="104" t="s">
        <v>24</v>
      </c>
      <c r="M10" s="104"/>
      <c r="N10" s="104"/>
      <c r="O10" s="104"/>
    </row>
    <row r="11" spans="1:15" x14ac:dyDescent="0.25">
      <c r="A11" s="6" t="s">
        <v>25</v>
      </c>
      <c r="B11" s="7">
        <v>9000</v>
      </c>
      <c r="C11" s="7">
        <v>0</v>
      </c>
      <c r="D11" s="17">
        <f t="shared" si="0"/>
        <v>7000</v>
      </c>
      <c r="E11" s="7">
        <f>C11+3000+400+3000+600</f>
        <v>7000</v>
      </c>
      <c r="F11" s="15" t="s">
        <v>26</v>
      </c>
      <c r="G11" s="16">
        <v>18124</v>
      </c>
      <c r="H11" s="16">
        <v>18124</v>
      </c>
      <c r="I11" s="7">
        <f t="shared" ref="I11:I20" si="2">J11-H11</f>
        <v>0</v>
      </c>
      <c r="J11" s="16">
        <f>H11</f>
        <v>18124</v>
      </c>
      <c r="L11" s="104"/>
      <c r="M11" s="104"/>
      <c r="N11" s="104"/>
      <c r="O11" s="104"/>
    </row>
    <row r="12" spans="1:15" ht="15" customHeight="1" x14ac:dyDescent="0.25">
      <c r="A12" s="4" t="s">
        <v>27</v>
      </c>
      <c r="B12" s="5">
        <f>SUM(B13:B16)</f>
        <v>4347</v>
      </c>
      <c r="C12" s="5">
        <f>SUM(C13:C16)</f>
        <v>1389.3</v>
      </c>
      <c r="D12" s="5">
        <f t="shared" si="0"/>
        <v>1363.2</v>
      </c>
      <c r="E12" s="5">
        <f>SUM(E13:E16)</f>
        <v>2752.5</v>
      </c>
      <c r="F12" s="15" t="s">
        <v>28</v>
      </c>
      <c r="G12" s="16">
        <v>30000</v>
      </c>
      <c r="H12" s="16">
        <v>18000</v>
      </c>
      <c r="I12" s="7">
        <f t="shared" si="2"/>
        <v>12000</v>
      </c>
      <c r="J12" s="16">
        <f>H12+12000</f>
        <v>30000</v>
      </c>
      <c r="L12" s="93" t="s">
        <v>29</v>
      </c>
      <c r="M12" s="93"/>
      <c r="N12" s="93"/>
      <c r="O12" s="93"/>
    </row>
    <row r="13" spans="1:15" x14ac:dyDescent="0.25">
      <c r="A13" s="6" t="s">
        <v>30</v>
      </c>
      <c r="B13" s="7">
        <v>400</v>
      </c>
      <c r="C13" s="7">
        <v>369.5</v>
      </c>
      <c r="D13" s="8">
        <f t="shared" si="0"/>
        <v>900</v>
      </c>
      <c r="E13" s="7">
        <f>C13+(60*15)</f>
        <v>1269.5</v>
      </c>
      <c r="F13" s="15" t="s">
        <v>31</v>
      </c>
      <c r="G13" s="16">
        <v>9000</v>
      </c>
      <c r="H13" s="16">
        <v>5400</v>
      </c>
      <c r="I13" s="7">
        <f t="shared" si="2"/>
        <v>3600</v>
      </c>
      <c r="J13" s="16">
        <f>H13+3600</f>
        <v>9000</v>
      </c>
      <c r="L13" s="93"/>
      <c r="M13" s="93"/>
      <c r="N13" s="93"/>
      <c r="O13" s="93"/>
    </row>
    <row r="14" spans="1:15" x14ac:dyDescent="0.25">
      <c r="A14" s="18" t="s">
        <v>32</v>
      </c>
      <c r="B14" s="7">
        <v>1700</v>
      </c>
      <c r="C14" s="7">
        <v>1000</v>
      </c>
      <c r="D14" s="19">
        <f t="shared" si="0"/>
        <v>651</v>
      </c>
      <c r="E14" s="7">
        <f>C14+651</f>
        <v>1651</v>
      </c>
      <c r="F14" s="15"/>
      <c r="G14" s="16"/>
      <c r="H14" s="16"/>
      <c r="I14" s="16"/>
      <c r="J14" s="16"/>
      <c r="L14" s="93"/>
      <c r="M14" s="93"/>
      <c r="N14" s="93"/>
      <c r="O14" s="93"/>
    </row>
    <row r="15" spans="1:15" x14ac:dyDescent="0.25">
      <c r="A15" s="18" t="s">
        <v>33</v>
      </c>
      <c r="B15" s="7">
        <v>2197</v>
      </c>
      <c r="C15" s="7"/>
      <c r="D15" s="16"/>
      <c r="E15" s="7">
        <f>B15-((0.057*15000)+(15*58)+480+(15*12))</f>
        <v>-188</v>
      </c>
      <c r="F15" s="15" t="s">
        <v>34</v>
      </c>
      <c r="G15" s="16">
        <v>20000</v>
      </c>
      <c r="H15" s="16">
        <v>20000</v>
      </c>
      <c r="I15" s="7">
        <f t="shared" si="2"/>
        <v>0</v>
      </c>
      <c r="J15" s="16">
        <f>H15</f>
        <v>20000</v>
      </c>
      <c r="L15" s="93"/>
      <c r="M15" s="93"/>
      <c r="N15" s="93"/>
      <c r="O15" s="93"/>
    </row>
    <row r="16" spans="1:15" ht="15" customHeight="1" x14ac:dyDescent="0.25">
      <c r="A16" s="18" t="s">
        <v>12</v>
      </c>
      <c r="B16" s="7">
        <v>50</v>
      </c>
      <c r="C16" s="7">
        <v>19.8</v>
      </c>
      <c r="D16" s="7">
        <f t="shared" si="0"/>
        <v>0.19999999999999929</v>
      </c>
      <c r="E16" s="7">
        <v>20</v>
      </c>
      <c r="F16" s="15"/>
      <c r="G16" s="16"/>
      <c r="H16" s="16"/>
      <c r="I16" s="16"/>
      <c r="J16" s="16"/>
      <c r="L16" s="103" t="s">
        <v>9</v>
      </c>
      <c r="M16" s="103"/>
      <c r="N16" s="103"/>
      <c r="O16" s="103"/>
    </row>
    <row r="17" spans="1:15" x14ac:dyDescent="0.25">
      <c r="A17" s="4" t="s">
        <v>35</v>
      </c>
      <c r="B17" s="5">
        <f>SUM(B18:B23)</f>
        <v>7865</v>
      </c>
      <c r="C17" s="5">
        <f>SUM(C18:C23)</f>
        <v>7436.4733333333324</v>
      </c>
      <c r="D17" s="5">
        <f t="shared" si="0"/>
        <v>1444.0000000000009</v>
      </c>
      <c r="E17" s="5">
        <f>SUM(E18:E23)</f>
        <v>8880.4733333333334</v>
      </c>
      <c r="F17" s="15" t="s">
        <v>36</v>
      </c>
      <c r="G17" s="16">
        <v>2000</v>
      </c>
      <c r="H17" s="16">
        <v>2000</v>
      </c>
      <c r="I17" s="7">
        <f t="shared" si="2"/>
        <v>0</v>
      </c>
      <c r="J17" s="16">
        <f>H17</f>
        <v>2000</v>
      </c>
      <c r="L17" s="103"/>
      <c r="M17" s="103"/>
      <c r="N17" s="103"/>
      <c r="O17" s="103"/>
    </row>
    <row r="18" spans="1:15" ht="17.25" customHeight="1" x14ac:dyDescent="0.25">
      <c r="A18" s="15" t="s">
        <v>37</v>
      </c>
      <c r="B18" s="7">
        <v>4000</v>
      </c>
      <c r="C18" s="7">
        <v>3961.7</v>
      </c>
      <c r="D18" s="7">
        <f t="shared" si="0"/>
        <v>0</v>
      </c>
      <c r="E18" s="7">
        <v>3961.7</v>
      </c>
      <c r="F18" s="15" t="s">
        <v>38</v>
      </c>
      <c r="G18" s="16">
        <v>1000</v>
      </c>
      <c r="H18" s="16">
        <v>1000</v>
      </c>
      <c r="I18" s="7">
        <f t="shared" si="2"/>
        <v>0</v>
      </c>
      <c r="J18" s="16">
        <f>H18</f>
        <v>1000</v>
      </c>
      <c r="L18" s="97" t="s">
        <v>39</v>
      </c>
      <c r="M18" s="97"/>
      <c r="N18" s="97"/>
      <c r="O18" s="97"/>
    </row>
    <row r="19" spans="1:15" x14ac:dyDescent="0.25">
      <c r="A19" s="15" t="s">
        <v>40</v>
      </c>
      <c r="B19" s="7">
        <v>1900</v>
      </c>
      <c r="C19" s="7">
        <v>1677.38</v>
      </c>
      <c r="D19" s="7">
        <f t="shared" si="0"/>
        <v>0</v>
      </c>
      <c r="E19" s="7">
        <v>1677.38</v>
      </c>
      <c r="F19" s="15"/>
      <c r="G19" s="16"/>
      <c r="H19" s="16"/>
      <c r="I19" s="16"/>
      <c r="J19" s="16"/>
      <c r="L19" s="97"/>
      <c r="M19" s="97"/>
      <c r="N19" s="97"/>
      <c r="O19" s="97"/>
    </row>
    <row r="20" spans="1:15" ht="24.75" x14ac:dyDescent="0.25">
      <c r="A20" s="20" t="s">
        <v>41</v>
      </c>
      <c r="B20" s="7">
        <v>265</v>
      </c>
      <c r="C20" s="7">
        <v>266.33333333333331</v>
      </c>
      <c r="D20" s="7">
        <f t="shared" si="0"/>
        <v>0</v>
      </c>
      <c r="E20" s="7">
        <v>266.33333333333331</v>
      </c>
      <c r="F20" s="20" t="s">
        <v>42</v>
      </c>
      <c r="G20" s="16">
        <v>6500</v>
      </c>
      <c r="H20" s="16">
        <v>3000</v>
      </c>
      <c r="I20" s="7">
        <f t="shared" si="2"/>
        <v>500</v>
      </c>
      <c r="J20" s="16">
        <f>H20+500</f>
        <v>3500</v>
      </c>
      <c r="L20" s="98" t="s">
        <v>43</v>
      </c>
      <c r="M20" s="98"/>
      <c r="N20" s="98"/>
      <c r="O20" s="98"/>
    </row>
    <row r="21" spans="1:15" x14ac:dyDescent="0.25">
      <c r="A21" s="20" t="s">
        <v>44</v>
      </c>
      <c r="B21" s="7">
        <v>200</v>
      </c>
      <c r="C21" s="7">
        <v>38.660000000000004</v>
      </c>
      <c r="D21" s="7">
        <f t="shared" si="0"/>
        <v>0</v>
      </c>
      <c r="E21" s="7">
        <v>38.660000000000004</v>
      </c>
      <c r="F21" s="15"/>
      <c r="G21" s="16"/>
      <c r="H21" s="16"/>
      <c r="I21" s="16"/>
      <c r="J21" s="16"/>
      <c r="L21" s="98"/>
      <c r="M21" s="98"/>
      <c r="N21" s="98"/>
      <c r="O21" s="98"/>
    </row>
    <row r="22" spans="1:15" ht="24.75" x14ac:dyDescent="0.25">
      <c r="A22" s="20" t="s">
        <v>45</v>
      </c>
      <c r="B22" s="7">
        <v>1200</v>
      </c>
      <c r="C22" s="7">
        <v>1190</v>
      </c>
      <c r="D22" s="21">
        <f t="shared" si="0"/>
        <v>550</v>
      </c>
      <c r="E22" s="7">
        <f>C22+550</f>
        <v>1740</v>
      </c>
      <c r="F22" s="15"/>
      <c r="G22" s="16"/>
      <c r="H22" s="16"/>
      <c r="I22" s="16"/>
      <c r="J22" s="16"/>
      <c r="L22" s="99" t="s">
        <v>46</v>
      </c>
      <c r="M22" s="99"/>
      <c r="N22" s="99"/>
      <c r="O22" s="99"/>
    </row>
    <row r="23" spans="1:15" ht="24" customHeight="1" x14ac:dyDescent="0.25">
      <c r="A23" s="20" t="s">
        <v>47</v>
      </c>
      <c r="B23" s="7">
        <v>300</v>
      </c>
      <c r="C23" s="7">
        <v>302.39999999999998</v>
      </c>
      <c r="D23" s="21">
        <f t="shared" si="0"/>
        <v>894.00000000000011</v>
      </c>
      <c r="E23" s="7">
        <f>C23+400+200+294</f>
        <v>1196.4000000000001</v>
      </c>
      <c r="F23" s="15" t="s">
        <v>48</v>
      </c>
      <c r="G23" s="16"/>
      <c r="H23" s="16"/>
      <c r="I23" s="16"/>
      <c r="J23" s="16">
        <v>-5072</v>
      </c>
      <c r="L23" s="99"/>
      <c r="M23" s="99"/>
      <c r="N23" s="99"/>
      <c r="O23" s="99"/>
    </row>
    <row r="24" spans="1:15" x14ac:dyDescent="0.25">
      <c r="A24" s="4" t="s">
        <v>49</v>
      </c>
      <c r="B24" s="5">
        <f>SUM(B25,B27:B31)</f>
        <v>43363</v>
      </c>
      <c r="C24" s="5">
        <f t="shared" ref="C24:E24" si="3">SUM(C25,C27:C31)</f>
        <v>25356.98</v>
      </c>
      <c r="D24" s="5">
        <f t="shared" si="0"/>
        <v>12419.030000000002</v>
      </c>
      <c r="E24" s="5">
        <f t="shared" si="3"/>
        <v>37776.01</v>
      </c>
      <c r="F24" s="15"/>
      <c r="G24" s="16"/>
      <c r="H24" s="16"/>
      <c r="I24" s="16"/>
      <c r="J24" s="16"/>
    </row>
    <row r="25" spans="1:15" x14ac:dyDescent="0.25">
      <c r="A25" s="20" t="s">
        <v>50</v>
      </c>
      <c r="B25" s="7">
        <v>32992</v>
      </c>
      <c r="C25" s="7">
        <v>21868</v>
      </c>
      <c r="D25" s="11">
        <f t="shared" si="0"/>
        <v>7142.4600000000028</v>
      </c>
      <c r="E25" s="7">
        <f>C25+(1771.99*3)+(608.83*3)</f>
        <v>29010.460000000003</v>
      </c>
      <c r="F25" s="15"/>
      <c r="G25" s="16"/>
      <c r="H25" s="16"/>
      <c r="I25" s="16"/>
      <c r="J25" s="16"/>
      <c r="L25" s="100" t="s">
        <v>51</v>
      </c>
      <c r="M25" s="100"/>
      <c r="N25" s="100"/>
      <c r="O25" s="100"/>
    </row>
    <row r="26" spans="1:15" ht="36.75" x14ac:dyDescent="0.25">
      <c r="A26" s="22" t="s">
        <v>52</v>
      </c>
      <c r="B26" s="23" t="s">
        <v>53</v>
      </c>
      <c r="C26" s="23" t="s">
        <v>54</v>
      </c>
      <c r="D26" s="23"/>
      <c r="E26" s="23" t="s">
        <v>190</v>
      </c>
      <c r="F26" s="15"/>
      <c r="G26" s="16"/>
      <c r="H26" s="16"/>
      <c r="I26" s="16"/>
      <c r="J26" s="16"/>
    </row>
    <row r="27" spans="1:15" x14ac:dyDescent="0.25">
      <c r="A27" s="15" t="s">
        <v>55</v>
      </c>
      <c r="B27" s="7">
        <v>1500</v>
      </c>
      <c r="C27" s="7">
        <v>1341.55</v>
      </c>
      <c r="D27" s="13">
        <f t="shared" si="0"/>
        <v>450</v>
      </c>
      <c r="E27" s="7">
        <f>C27+450</f>
        <v>1791.55</v>
      </c>
      <c r="F27" s="15"/>
      <c r="G27" s="16"/>
      <c r="H27" s="16"/>
      <c r="I27" s="16"/>
      <c r="J27" s="16"/>
      <c r="L27" s="101" t="s">
        <v>56</v>
      </c>
      <c r="M27" s="101"/>
      <c r="N27" s="101"/>
      <c r="O27" s="101"/>
    </row>
    <row r="28" spans="1:15" x14ac:dyDescent="0.25">
      <c r="A28" s="15" t="s">
        <v>57</v>
      </c>
      <c r="B28" s="7">
        <v>400</v>
      </c>
      <c r="C28" s="7">
        <v>144.42999999999998</v>
      </c>
      <c r="D28" s="24">
        <f t="shared" si="0"/>
        <v>355.57000000000005</v>
      </c>
      <c r="E28" s="7">
        <v>500</v>
      </c>
      <c r="F28" s="15"/>
      <c r="G28" s="16"/>
      <c r="H28" s="16"/>
      <c r="I28" s="16"/>
      <c r="J28" s="16"/>
      <c r="L28" s="102" t="s">
        <v>58</v>
      </c>
      <c r="M28" s="102"/>
      <c r="N28" s="102"/>
      <c r="O28" s="102"/>
    </row>
    <row r="29" spans="1:15" ht="28.5" customHeight="1" x14ac:dyDescent="0.25">
      <c r="A29" s="20" t="s">
        <v>59</v>
      </c>
      <c r="B29" s="7">
        <v>3171</v>
      </c>
      <c r="C29" s="7">
        <v>94</v>
      </c>
      <c r="D29" s="17">
        <f t="shared" si="0"/>
        <v>2871</v>
      </c>
      <c r="E29" s="7">
        <f>C29+2871</f>
        <v>2965</v>
      </c>
      <c r="F29" s="15"/>
      <c r="G29" s="16"/>
      <c r="H29" s="16"/>
      <c r="I29" s="16"/>
      <c r="J29" s="16"/>
      <c r="L29" s="102"/>
      <c r="M29" s="102"/>
      <c r="N29" s="102"/>
      <c r="O29" s="102"/>
    </row>
    <row r="30" spans="1:15" ht="15" customHeight="1" x14ac:dyDescent="0.25">
      <c r="A30" s="20" t="s">
        <v>60</v>
      </c>
      <c r="B30" s="7">
        <v>100</v>
      </c>
      <c r="C30" s="7">
        <v>100</v>
      </c>
      <c r="D30" s="7">
        <f t="shared" si="0"/>
        <v>0</v>
      </c>
      <c r="E30" s="7">
        <f>C30</f>
        <v>100</v>
      </c>
      <c r="F30" s="15"/>
      <c r="G30" s="16"/>
      <c r="H30" s="16"/>
      <c r="I30" s="16"/>
      <c r="J30" s="16"/>
      <c r="L30" s="93" t="s">
        <v>58</v>
      </c>
      <c r="M30" s="93"/>
      <c r="N30" s="93"/>
      <c r="O30" s="93"/>
    </row>
    <row r="31" spans="1:15" x14ac:dyDescent="0.25">
      <c r="A31" s="20" t="s">
        <v>61</v>
      </c>
      <c r="B31" s="7">
        <v>5200</v>
      </c>
      <c r="C31" s="7">
        <v>1809</v>
      </c>
      <c r="D31" s="19">
        <f t="shared" si="0"/>
        <v>1600</v>
      </c>
      <c r="E31" s="7">
        <f>C31+400+400+400+400</f>
        <v>3409</v>
      </c>
      <c r="F31" s="15"/>
      <c r="G31" s="16"/>
      <c r="H31" s="16"/>
      <c r="I31" s="16"/>
      <c r="J31" s="16"/>
      <c r="L31" s="93"/>
      <c r="M31" s="93"/>
      <c r="N31" s="93"/>
      <c r="O31" s="93"/>
    </row>
    <row r="32" spans="1:15" x14ac:dyDescent="0.25">
      <c r="A32" s="4" t="s">
        <v>62</v>
      </c>
      <c r="B32" s="5">
        <f>SUM(B33:B34)</f>
        <v>400</v>
      </c>
      <c r="C32" s="5">
        <f t="shared" ref="C32:E32" si="4">SUM(C33:C34)</f>
        <v>66.5</v>
      </c>
      <c r="D32" s="5">
        <f t="shared" si="0"/>
        <v>300</v>
      </c>
      <c r="E32" s="5">
        <f t="shared" si="4"/>
        <v>366.5</v>
      </c>
      <c r="F32" s="25"/>
      <c r="G32" s="16"/>
      <c r="H32" s="16"/>
      <c r="I32" s="16"/>
      <c r="J32" s="16"/>
      <c r="L32" s="94" t="s">
        <v>51</v>
      </c>
      <c r="M32" s="94"/>
      <c r="N32" s="94"/>
      <c r="O32" s="94"/>
    </row>
    <row r="33" spans="1:15" x14ac:dyDescent="0.25">
      <c r="A33" s="15" t="s">
        <v>63</v>
      </c>
      <c r="B33" s="7">
        <v>100</v>
      </c>
      <c r="C33" s="7">
        <v>66.5</v>
      </c>
      <c r="D33" s="7">
        <f t="shared" si="0"/>
        <v>0</v>
      </c>
      <c r="E33" s="7">
        <f>C33</f>
        <v>66.5</v>
      </c>
      <c r="F33" s="15"/>
      <c r="G33" s="16"/>
      <c r="H33" s="16"/>
      <c r="I33" s="16"/>
      <c r="J33" s="16"/>
    </row>
    <row r="34" spans="1:15" x14ac:dyDescent="0.25">
      <c r="A34" s="15" t="s">
        <v>64</v>
      </c>
      <c r="B34" s="7">
        <v>300</v>
      </c>
      <c r="C34" s="7">
        <v>0</v>
      </c>
      <c r="D34" s="11">
        <f t="shared" si="0"/>
        <v>300</v>
      </c>
      <c r="E34" s="7">
        <f>C34+300</f>
        <v>300</v>
      </c>
      <c r="F34" s="15"/>
      <c r="G34" s="16"/>
      <c r="H34" s="16"/>
      <c r="I34" s="16"/>
      <c r="J34" s="16"/>
      <c r="L34" s="95" t="s">
        <v>65</v>
      </c>
      <c r="M34" s="95"/>
      <c r="N34" s="95"/>
      <c r="O34" s="95"/>
    </row>
    <row r="35" spans="1:15" x14ac:dyDescent="0.25">
      <c r="A35" s="26" t="s">
        <v>66</v>
      </c>
      <c r="B35" s="27">
        <f>SUM(B32+B24+B17+B12+B7+B3)</f>
        <v>94025</v>
      </c>
      <c r="C35" s="27">
        <f t="shared" ref="C35" si="5">SUM(C32+C24+C17+C12+C7+C3)</f>
        <v>49764.803333333337</v>
      </c>
      <c r="D35" s="27">
        <f t="shared" si="0"/>
        <v>35318.230000000003</v>
      </c>
      <c r="E35" s="27">
        <f>SUM(E32+E24+E17+E12+E7+E3)</f>
        <v>85083.03333333334</v>
      </c>
      <c r="F35" s="26" t="s">
        <v>67</v>
      </c>
      <c r="G35" s="27">
        <f>G3+G9</f>
        <v>94024</v>
      </c>
      <c r="H35" s="27">
        <f>H3+H9</f>
        <v>72455.520000000004</v>
      </c>
      <c r="I35" s="27">
        <f t="shared" ref="I35" si="6">J35-H35</f>
        <v>12628</v>
      </c>
      <c r="J35" s="27">
        <f>J3+J9</f>
        <v>85083.520000000004</v>
      </c>
      <c r="L35" s="95"/>
      <c r="M35" s="95"/>
      <c r="N35" s="95"/>
      <c r="O35" s="95"/>
    </row>
    <row r="36" spans="1:15" ht="15.75" thickBot="1" x14ac:dyDescent="0.3">
      <c r="B36" s="7"/>
      <c r="C36" s="7"/>
      <c r="D36" s="7"/>
      <c r="E36" s="7"/>
      <c r="F36" s="15"/>
      <c r="G36" s="16"/>
      <c r="H36" s="16"/>
      <c r="I36" s="16"/>
      <c r="J36" s="16"/>
    </row>
    <row r="37" spans="1:15" ht="18" customHeight="1" thickBot="1" x14ac:dyDescent="0.3">
      <c r="A37" s="2" t="s">
        <v>68</v>
      </c>
      <c r="B37" s="28"/>
      <c r="C37" s="28"/>
      <c r="D37" s="28"/>
      <c r="E37" s="28"/>
      <c r="F37" s="2" t="s">
        <v>69</v>
      </c>
      <c r="G37" s="28"/>
      <c r="H37" s="28"/>
      <c r="I37" s="28"/>
      <c r="J37" s="28"/>
    </row>
    <row r="38" spans="1:15" ht="15" customHeight="1" x14ac:dyDescent="0.25">
      <c r="A38" s="4" t="s">
        <v>70</v>
      </c>
      <c r="B38" s="29">
        <f>SUM(B39:B39)</f>
        <v>1250</v>
      </c>
      <c r="C38" s="29">
        <f>C39</f>
        <v>650</v>
      </c>
      <c r="D38" s="5">
        <f t="shared" ref="D38:D40" si="7">E38-C38</f>
        <v>0</v>
      </c>
      <c r="E38" s="30">
        <f>E39</f>
        <v>650</v>
      </c>
      <c r="F38" s="4" t="s">
        <v>70</v>
      </c>
      <c r="G38" s="5">
        <f>SUM(G39:G39)</f>
        <v>1250</v>
      </c>
      <c r="H38" s="5">
        <f t="shared" ref="H38:J38" si="8">SUM(H39:H39)</f>
        <v>650</v>
      </c>
      <c r="I38" s="5">
        <f t="shared" ref="I38:I40" si="9">J38-H38</f>
        <v>0</v>
      </c>
      <c r="J38" s="5">
        <f t="shared" si="8"/>
        <v>650</v>
      </c>
    </row>
    <row r="39" spans="1:15" x14ac:dyDescent="0.25">
      <c r="A39" s="15" t="s">
        <v>71</v>
      </c>
      <c r="B39" s="16">
        <v>1250</v>
      </c>
      <c r="C39" s="16">
        <v>650</v>
      </c>
      <c r="D39" s="16">
        <f t="shared" si="7"/>
        <v>0</v>
      </c>
      <c r="E39" s="31">
        <v>650</v>
      </c>
      <c r="F39" s="15" t="s">
        <v>71</v>
      </c>
      <c r="G39" s="16">
        <v>1250</v>
      </c>
      <c r="H39" s="16">
        <v>650</v>
      </c>
      <c r="I39" s="16">
        <f t="shared" si="9"/>
        <v>0</v>
      </c>
      <c r="J39" s="16">
        <f>H39</f>
        <v>650</v>
      </c>
    </row>
    <row r="40" spans="1:15" x14ac:dyDescent="0.25">
      <c r="A40" s="4" t="s">
        <v>72</v>
      </c>
      <c r="B40" s="5">
        <f>SUM(B42:B44)</f>
        <v>42000</v>
      </c>
      <c r="C40" s="5">
        <f>SUM(C42:C44)</f>
        <v>15068.96</v>
      </c>
      <c r="D40" s="5">
        <f t="shared" si="7"/>
        <v>23150</v>
      </c>
      <c r="E40" s="5">
        <f>SUM(E42:E44)</f>
        <v>38218.959999999999</v>
      </c>
      <c r="F40" s="4" t="s">
        <v>72</v>
      </c>
      <c r="G40" s="5">
        <f>SUM(G42:G44)</f>
        <v>42000</v>
      </c>
      <c r="H40" s="5">
        <f t="shared" ref="H40:J40" si="10">SUM(H42:H44)</f>
        <v>15530</v>
      </c>
      <c r="I40" s="5">
        <f t="shared" si="9"/>
        <v>23150</v>
      </c>
      <c r="J40" s="5">
        <f t="shared" si="10"/>
        <v>38680</v>
      </c>
    </row>
    <row r="41" spans="1:15" x14ac:dyDescent="0.25">
      <c r="A41" s="15" t="s">
        <v>73</v>
      </c>
      <c r="B41" s="32"/>
      <c r="C41" s="32"/>
      <c r="D41" s="16"/>
      <c r="F41" s="15" t="s">
        <v>73</v>
      </c>
      <c r="G41" s="16"/>
      <c r="H41" s="16"/>
      <c r="I41" s="16"/>
      <c r="J41" s="16"/>
    </row>
    <row r="42" spans="1:15" x14ac:dyDescent="0.25">
      <c r="A42" s="33" t="s">
        <v>74</v>
      </c>
      <c r="B42" s="16">
        <v>28500</v>
      </c>
      <c r="C42" s="16">
        <f>[1]General!D75</f>
        <v>14668.96</v>
      </c>
      <c r="D42" s="16">
        <f>E42-C42</f>
        <v>14650</v>
      </c>
      <c r="E42" s="31">
        <f>C42+9500+5150</f>
        <v>29318.959999999999</v>
      </c>
      <c r="F42" s="33" t="s">
        <v>75</v>
      </c>
      <c r="G42" s="16">
        <v>28500</v>
      </c>
      <c r="H42" s="16">
        <f>975+2210+3400+3640+2175+876+1354+500</f>
        <v>15130</v>
      </c>
      <c r="I42" s="16">
        <f t="shared" ref="I42:I45" si="11">J42-H42</f>
        <v>14650</v>
      </c>
      <c r="J42" s="31">
        <f>H42+9500+5150</f>
        <v>29780</v>
      </c>
    </row>
    <row r="43" spans="1:15" ht="24.75" x14ac:dyDescent="0.25">
      <c r="A43" s="34" t="s">
        <v>76</v>
      </c>
      <c r="B43" s="16">
        <v>8500</v>
      </c>
      <c r="C43" s="16">
        <v>0</v>
      </c>
      <c r="D43" s="16">
        <f t="shared" ref="D43:D47" si="12">E43-C43</f>
        <v>8500</v>
      </c>
      <c r="E43" s="31">
        <f>C43+8500</f>
        <v>8500</v>
      </c>
      <c r="F43" s="34" t="s">
        <v>76</v>
      </c>
      <c r="G43" s="16">
        <v>8500</v>
      </c>
      <c r="H43" s="16">
        <v>0</v>
      </c>
      <c r="I43" s="16">
        <f t="shared" si="11"/>
        <v>8500</v>
      </c>
      <c r="J43" s="31">
        <f>H43+8500</f>
        <v>8500</v>
      </c>
    </row>
    <row r="44" spans="1:15" x14ac:dyDescent="0.25">
      <c r="A44" s="33" t="s">
        <v>77</v>
      </c>
      <c r="B44" s="16">
        <v>5000</v>
      </c>
      <c r="C44" s="16">
        <v>400</v>
      </c>
      <c r="D44" s="16">
        <f t="shared" si="12"/>
        <v>0</v>
      </c>
      <c r="E44" s="31">
        <f>C44</f>
        <v>400</v>
      </c>
      <c r="F44" s="33" t="s">
        <v>77</v>
      </c>
      <c r="G44" s="16">
        <v>5000</v>
      </c>
      <c r="H44" s="16">
        <v>400</v>
      </c>
      <c r="I44" s="16">
        <f t="shared" si="11"/>
        <v>0</v>
      </c>
      <c r="J44" s="31">
        <f>H44</f>
        <v>400</v>
      </c>
    </row>
    <row r="45" spans="1:15" x14ac:dyDescent="0.25">
      <c r="A45" s="4" t="s">
        <v>78</v>
      </c>
      <c r="B45" s="5">
        <f>SUM(B46:B46)</f>
        <v>1000</v>
      </c>
      <c r="C45" s="5">
        <f>SUM(C46:C46)</f>
        <v>1000</v>
      </c>
      <c r="D45" s="5">
        <f t="shared" si="12"/>
        <v>0</v>
      </c>
      <c r="E45" s="5">
        <f>SUM(E46:E46)</f>
        <v>1000</v>
      </c>
      <c r="F45" s="4" t="s">
        <v>78</v>
      </c>
      <c r="G45" s="5">
        <f>SUM(G46:G46)</f>
        <v>1000</v>
      </c>
      <c r="H45" s="5">
        <f t="shared" ref="H45:J45" si="13">SUM(H46:H46)</f>
        <v>1000</v>
      </c>
      <c r="I45" s="5">
        <f t="shared" si="11"/>
        <v>0</v>
      </c>
      <c r="J45" s="5">
        <f t="shared" si="13"/>
        <v>1000</v>
      </c>
    </row>
    <row r="46" spans="1:15" ht="15.75" thickBot="1" x14ac:dyDescent="0.3">
      <c r="A46" s="15" t="s">
        <v>79</v>
      </c>
      <c r="B46" s="35">
        <v>1000</v>
      </c>
      <c r="C46" s="35">
        <v>1000</v>
      </c>
      <c r="D46" s="16">
        <f t="shared" si="12"/>
        <v>0</v>
      </c>
      <c r="E46" s="35">
        <v>1000</v>
      </c>
      <c r="F46" s="15" t="s">
        <v>79</v>
      </c>
      <c r="G46" s="35">
        <v>1000</v>
      </c>
      <c r="H46" s="35">
        <v>1000</v>
      </c>
      <c r="I46" s="35"/>
      <c r="J46" s="35">
        <v>1000</v>
      </c>
    </row>
    <row r="47" spans="1:15" x14ac:dyDescent="0.25">
      <c r="A47" s="26" t="s">
        <v>80</v>
      </c>
      <c r="B47" s="27">
        <f>B38+B40+B45</f>
        <v>44250</v>
      </c>
      <c r="C47" s="27">
        <f>C38+C40+C45</f>
        <v>16718.96</v>
      </c>
      <c r="D47" s="27">
        <f t="shared" si="12"/>
        <v>23150</v>
      </c>
      <c r="E47" s="27">
        <f>E38+E40+E45</f>
        <v>39868.959999999999</v>
      </c>
      <c r="F47" s="26" t="s">
        <v>80</v>
      </c>
      <c r="G47" s="27">
        <f>G38+G40+G45</f>
        <v>44250</v>
      </c>
      <c r="H47" s="27">
        <f t="shared" ref="H47:J47" si="14">H38+H40+H45</f>
        <v>17180</v>
      </c>
      <c r="I47" s="27">
        <f t="shared" ref="I47" si="15">J47-H47</f>
        <v>23150</v>
      </c>
      <c r="J47" s="27">
        <f t="shared" si="14"/>
        <v>40330</v>
      </c>
    </row>
    <row r="48" spans="1:15" x14ac:dyDescent="0.25">
      <c r="B48" s="36"/>
      <c r="C48" s="36"/>
      <c r="D48" s="37"/>
      <c r="E48" s="36"/>
      <c r="G48" s="36"/>
      <c r="H48" s="36"/>
      <c r="I48" s="36"/>
      <c r="J48" s="36"/>
    </row>
    <row r="49" spans="1:10" x14ac:dyDescent="0.25">
      <c r="A49" s="26" t="s">
        <v>81</v>
      </c>
      <c r="B49" s="27">
        <f>B35+B47</f>
        <v>138275</v>
      </c>
      <c r="C49" s="27">
        <f>C35+C47</f>
        <v>66483.763333333336</v>
      </c>
      <c r="D49" s="27">
        <f t="shared" ref="D49" si="16">E49-C49</f>
        <v>58468.23000000001</v>
      </c>
      <c r="E49" s="27">
        <f>E35+E47</f>
        <v>124951.99333333335</v>
      </c>
      <c r="F49" s="26" t="s">
        <v>82</v>
      </c>
      <c r="G49" s="27">
        <f>G35+G47</f>
        <v>138274</v>
      </c>
      <c r="H49" s="27">
        <f t="shared" ref="H49:J49" si="17">H35+H47</f>
        <v>89635.520000000004</v>
      </c>
      <c r="I49" s="27"/>
      <c r="J49" s="27">
        <f t="shared" si="17"/>
        <v>125413.52</v>
      </c>
    </row>
    <row r="51" spans="1:10" ht="35.25" customHeight="1" x14ac:dyDescent="0.25">
      <c r="A51" s="96" t="s">
        <v>83</v>
      </c>
      <c r="B51" s="96"/>
      <c r="C51" s="96"/>
      <c r="D51" s="96"/>
      <c r="E51" s="96"/>
      <c r="F51" s="96"/>
      <c r="G51" s="96"/>
      <c r="H51" s="96"/>
      <c r="I51" s="96"/>
      <c r="J51" s="96"/>
    </row>
    <row r="52" spans="1:10" ht="33" customHeight="1" x14ac:dyDescent="0.25">
      <c r="A52" s="96" t="s">
        <v>84</v>
      </c>
      <c r="B52" s="96"/>
      <c r="C52" s="96"/>
      <c r="D52" s="96"/>
      <c r="E52" s="96"/>
      <c r="F52" s="96"/>
      <c r="G52" s="96"/>
      <c r="H52" s="96"/>
      <c r="I52" s="96"/>
      <c r="J52" s="96"/>
    </row>
    <row r="53" spans="1:10" ht="42" customHeight="1" x14ac:dyDescent="0.25"/>
    <row r="54" spans="1:10" ht="25.5" customHeight="1" x14ac:dyDescent="0.25"/>
  </sheetData>
  <mergeCells count="17">
    <mergeCell ref="L28:O29"/>
    <mergeCell ref="L4:O5"/>
    <mergeCell ref="L7:O8"/>
    <mergeCell ref="L9:O9"/>
    <mergeCell ref="L10:O11"/>
    <mergeCell ref="L12:O15"/>
    <mergeCell ref="L16:O17"/>
    <mergeCell ref="L18:O19"/>
    <mergeCell ref="L20:O21"/>
    <mergeCell ref="L22:O23"/>
    <mergeCell ref="L25:O25"/>
    <mergeCell ref="L27:O27"/>
    <mergeCell ref="L30:O31"/>
    <mergeCell ref="L32:O32"/>
    <mergeCell ref="L34:O35"/>
    <mergeCell ref="A51:J51"/>
    <mergeCell ref="A52:J5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9"/>
  <sheetViews>
    <sheetView topLeftCell="A61" workbookViewId="0">
      <selection activeCell="D4" sqref="D4"/>
    </sheetView>
  </sheetViews>
  <sheetFormatPr baseColWidth="10" defaultRowHeight="15" x14ac:dyDescent="0.25"/>
  <cols>
    <col min="1" max="1" width="2.85546875" style="38" customWidth="1"/>
    <col min="2" max="2" width="1.85546875" style="38" customWidth="1"/>
    <col min="3" max="3" width="6" bestFit="1" customWidth="1"/>
    <col min="4" max="4" width="44.7109375" bestFit="1" customWidth="1"/>
    <col min="5" max="6" width="16.85546875" style="39" customWidth="1"/>
    <col min="7" max="7" width="44.28515625" style="40" customWidth="1"/>
    <col min="8" max="8" width="35" style="38" customWidth="1"/>
    <col min="9" max="16384" width="11.42578125" style="38"/>
  </cols>
  <sheetData>
    <row r="1" spans="1:11" ht="33.75" customHeight="1" x14ac:dyDescent="0.25">
      <c r="C1" s="106" t="s">
        <v>85</v>
      </c>
      <c r="D1" s="107"/>
      <c r="E1" s="107"/>
      <c r="F1" s="107"/>
      <c r="G1" s="107"/>
      <c r="H1" s="107"/>
    </row>
    <row r="3" spans="1:11" s="41" customFormat="1" x14ac:dyDescent="0.25">
      <c r="C3" s="42"/>
      <c r="D3" s="42"/>
      <c r="G3" s="43"/>
    </row>
    <row r="4" spans="1:11" s="44" customFormat="1" ht="15.75" thickBot="1" x14ac:dyDescent="0.3">
      <c r="C4" s="45"/>
      <c r="D4" s="45"/>
      <c r="E4" s="46"/>
      <c r="F4" s="46"/>
      <c r="G4" s="47"/>
    </row>
    <row r="5" spans="1:11" s="48" customFormat="1" ht="30.75" thickBot="1" x14ac:dyDescent="0.3">
      <c r="C5"/>
      <c r="D5"/>
      <c r="E5" s="49" t="s">
        <v>86</v>
      </c>
      <c r="F5" s="49" t="s">
        <v>87</v>
      </c>
      <c r="G5" s="50" t="s">
        <v>88</v>
      </c>
      <c r="H5" s="50" t="s">
        <v>89</v>
      </c>
    </row>
    <row r="6" spans="1:11" ht="30" x14ac:dyDescent="0.25">
      <c r="A6" s="105" t="s">
        <v>90</v>
      </c>
      <c r="C6" s="51">
        <v>60371</v>
      </c>
      <c r="D6" s="52" t="s">
        <v>91</v>
      </c>
      <c r="E6" s="53">
        <f>[1]Recap!B17</f>
        <v>2196</v>
      </c>
      <c r="F6" s="53">
        <f>[1]Previs!E15</f>
        <v>-188</v>
      </c>
      <c r="G6" s="54" t="s">
        <v>92</v>
      </c>
      <c r="H6" s="54" t="s">
        <v>93</v>
      </c>
    </row>
    <row r="7" spans="1:11" ht="30" x14ac:dyDescent="0.25">
      <c r="A7" s="105"/>
      <c r="C7" s="55">
        <v>60400</v>
      </c>
      <c r="D7" s="56" t="s">
        <v>94</v>
      </c>
      <c r="E7" s="57">
        <f>[1]Recap!B41+[1]Recap!B38</f>
        <v>5500</v>
      </c>
      <c r="F7" s="57">
        <f>[1]Previs!E34+[1]Previs!E31</f>
        <v>3709</v>
      </c>
      <c r="G7" s="58" t="s">
        <v>95</v>
      </c>
      <c r="H7" s="58" t="s">
        <v>96</v>
      </c>
    </row>
    <row r="8" spans="1:11" ht="30" x14ac:dyDescent="0.25">
      <c r="A8" s="105"/>
      <c r="C8" s="55">
        <v>60410</v>
      </c>
      <c r="D8" s="56" t="s">
        <v>97</v>
      </c>
      <c r="E8" s="57">
        <f>[1]Recap!B11+[1]Recap!B12+[1]Recap!B13+[1]Recap!B20</f>
        <v>41500</v>
      </c>
      <c r="F8" s="57">
        <f>[1]Previs!E8+[1]Previs!E10+[1]Previs!E9+[1]Previs!E11+[1]Previs!E18</f>
        <v>38521.039999999994</v>
      </c>
      <c r="G8" s="58" t="s">
        <v>98</v>
      </c>
      <c r="H8" s="58"/>
    </row>
    <row r="9" spans="1:11" ht="30" x14ac:dyDescent="0.25">
      <c r="A9" s="105"/>
      <c r="C9" s="55">
        <v>60420</v>
      </c>
      <c r="D9" s="56" t="s">
        <v>99</v>
      </c>
      <c r="E9" s="59">
        <f>[1]Recap!B24+[1]Recap!B7</f>
        <v>1400</v>
      </c>
      <c r="F9" s="57">
        <f>[1]Previs!E22+200</f>
        <v>1940</v>
      </c>
      <c r="G9" s="58" t="s">
        <v>100</v>
      </c>
      <c r="H9" s="58" t="s">
        <v>101</v>
      </c>
    </row>
    <row r="10" spans="1:11" x14ac:dyDescent="0.25">
      <c r="A10" s="105"/>
      <c r="C10" s="55">
        <v>60440</v>
      </c>
      <c r="D10" s="56" t="s">
        <v>102</v>
      </c>
      <c r="E10" s="57">
        <f>[1]Recap!B31</f>
        <v>1500</v>
      </c>
      <c r="F10" s="57">
        <f>[1]Recap!B31</f>
        <v>1500</v>
      </c>
      <c r="G10" s="58" t="s">
        <v>103</v>
      </c>
      <c r="H10" s="58"/>
    </row>
    <row r="11" spans="1:11" ht="30" x14ac:dyDescent="0.25">
      <c r="A11" s="105"/>
      <c r="C11" s="55">
        <v>60610</v>
      </c>
      <c r="D11" s="56" t="s">
        <v>104</v>
      </c>
      <c r="E11" s="57">
        <f>[1]Recap!B30</f>
        <v>400</v>
      </c>
      <c r="F11" s="57">
        <f>[1]Previs!E28</f>
        <v>500</v>
      </c>
      <c r="G11" s="68" t="s">
        <v>105</v>
      </c>
      <c r="H11" s="58" t="s">
        <v>106</v>
      </c>
      <c r="J11" s="111"/>
    </row>
    <row r="12" spans="1:11" ht="30" x14ac:dyDescent="0.25">
      <c r="A12" s="105"/>
      <c r="C12" s="55">
        <v>60630</v>
      </c>
      <c r="D12" s="56" t="s">
        <v>107</v>
      </c>
      <c r="E12" s="57">
        <f>[1]Recap!B6+[1]Recap!B23</f>
        <v>400</v>
      </c>
      <c r="F12" s="57">
        <f>163+[1]Previs!E21+[1]Previs!E4</f>
        <v>451.65999999999997</v>
      </c>
      <c r="G12" s="58" t="s">
        <v>108</v>
      </c>
      <c r="H12" s="58" t="s">
        <v>109</v>
      </c>
      <c r="K12" s="111"/>
    </row>
    <row r="13" spans="1:11" x14ac:dyDescent="0.25">
      <c r="A13" s="105"/>
      <c r="C13" s="55">
        <v>60640</v>
      </c>
      <c r="D13" s="56" t="s">
        <v>110</v>
      </c>
      <c r="E13" s="57">
        <f>[1]Recap!B32</f>
        <v>271</v>
      </c>
      <c r="F13" s="57">
        <v>67</v>
      </c>
      <c r="G13" s="58" t="s">
        <v>105</v>
      </c>
      <c r="H13" s="60" t="s">
        <v>111</v>
      </c>
      <c r="I13" s="111"/>
    </row>
    <row r="14" spans="1:11" x14ac:dyDescent="0.25">
      <c r="A14" s="105"/>
      <c r="C14" s="55">
        <v>60703</v>
      </c>
      <c r="D14" s="56" t="s">
        <v>112</v>
      </c>
      <c r="E14" s="57"/>
      <c r="F14" s="57"/>
      <c r="G14" s="58"/>
      <c r="H14" s="60"/>
    </row>
    <row r="15" spans="1:11" x14ac:dyDescent="0.25">
      <c r="A15" s="105"/>
      <c r="C15" s="61">
        <v>60710</v>
      </c>
      <c r="D15" s="62" t="s">
        <v>113</v>
      </c>
      <c r="E15" s="57">
        <f>[1]Recap!B15+[1]Recap!B16</f>
        <v>2100</v>
      </c>
      <c r="F15" s="57">
        <f>SUM([1]Previs!E13:E14)</f>
        <v>2920.5</v>
      </c>
      <c r="G15" s="60" t="s">
        <v>114</v>
      </c>
      <c r="H15" s="63" t="s">
        <v>115</v>
      </c>
    </row>
    <row r="16" spans="1:11" x14ac:dyDescent="0.25">
      <c r="A16" s="105"/>
      <c r="C16" s="64">
        <v>61220</v>
      </c>
      <c r="D16" s="65" t="s">
        <v>116</v>
      </c>
      <c r="E16" s="66">
        <f>[1]Recap!B33</f>
        <v>500</v>
      </c>
      <c r="F16" s="66">
        <v>500</v>
      </c>
      <c r="G16" s="67" t="s">
        <v>105</v>
      </c>
      <c r="H16" s="60"/>
    </row>
    <row r="17" spans="1:8" x14ac:dyDescent="0.25">
      <c r="A17" s="105"/>
      <c r="C17" s="55">
        <v>61320</v>
      </c>
      <c r="D17" s="56" t="s">
        <v>117</v>
      </c>
      <c r="E17" s="57"/>
      <c r="F17" s="57"/>
      <c r="G17" s="58"/>
      <c r="H17" s="60"/>
    </row>
    <row r="18" spans="1:8" x14ac:dyDescent="0.25">
      <c r="A18" s="105"/>
      <c r="C18" s="55">
        <v>61330</v>
      </c>
      <c r="D18" s="56" t="s">
        <v>118</v>
      </c>
      <c r="E18" s="57"/>
      <c r="F18" s="57"/>
      <c r="G18" s="58"/>
      <c r="H18" s="60"/>
    </row>
    <row r="19" spans="1:8" x14ac:dyDescent="0.25">
      <c r="A19" s="105"/>
      <c r="C19" s="55">
        <v>61340</v>
      </c>
      <c r="D19" s="56" t="s">
        <v>119</v>
      </c>
      <c r="E19" s="57"/>
      <c r="F19" s="57"/>
      <c r="G19" s="58"/>
      <c r="H19" s="60"/>
    </row>
    <row r="20" spans="1:8" x14ac:dyDescent="0.25">
      <c r="A20" s="105"/>
      <c r="C20" s="55">
        <v>61550</v>
      </c>
      <c r="D20" s="56" t="s">
        <v>120</v>
      </c>
      <c r="E20" s="57"/>
      <c r="F20" s="57"/>
      <c r="G20" s="58"/>
      <c r="H20" s="60"/>
    </row>
    <row r="21" spans="1:8" x14ac:dyDescent="0.25">
      <c r="A21" s="105"/>
      <c r="C21" s="55">
        <v>61560</v>
      </c>
      <c r="D21" s="56" t="s">
        <v>121</v>
      </c>
      <c r="E21" s="57"/>
      <c r="F21" s="57"/>
      <c r="G21" s="58"/>
      <c r="H21" s="60"/>
    </row>
    <row r="22" spans="1:8" x14ac:dyDescent="0.25">
      <c r="A22" s="105"/>
      <c r="C22" s="55">
        <v>61600</v>
      </c>
      <c r="D22" s="56" t="s">
        <v>122</v>
      </c>
      <c r="E22" s="57">
        <f>[1]Recap!B34</f>
        <v>200</v>
      </c>
      <c r="F22" s="57">
        <v>200</v>
      </c>
      <c r="G22" s="58" t="s">
        <v>105</v>
      </c>
      <c r="H22" s="60"/>
    </row>
    <row r="23" spans="1:8" x14ac:dyDescent="0.25">
      <c r="A23" s="105"/>
      <c r="C23" s="61">
        <v>61800</v>
      </c>
      <c r="D23" s="62" t="s">
        <v>123</v>
      </c>
      <c r="E23" s="57"/>
      <c r="F23" s="57"/>
      <c r="G23" s="58"/>
      <c r="H23" s="63"/>
    </row>
    <row r="24" spans="1:8" x14ac:dyDescent="0.25">
      <c r="A24" s="105"/>
      <c r="C24" s="64">
        <v>62260</v>
      </c>
      <c r="D24" s="65" t="s">
        <v>124</v>
      </c>
      <c r="E24" s="66"/>
      <c r="F24" s="66"/>
      <c r="G24" s="67"/>
      <c r="H24" s="60"/>
    </row>
    <row r="25" spans="1:8" x14ac:dyDescent="0.25">
      <c r="A25" s="105"/>
      <c r="C25" s="55">
        <v>62300</v>
      </c>
      <c r="D25" s="56" t="s">
        <v>125</v>
      </c>
      <c r="E25" s="57"/>
      <c r="F25" s="57"/>
      <c r="G25" s="58"/>
      <c r="H25" s="60"/>
    </row>
    <row r="26" spans="1:8" ht="45" x14ac:dyDescent="0.25">
      <c r="A26" s="105"/>
      <c r="C26" s="55">
        <v>62360</v>
      </c>
      <c r="D26" s="56" t="s">
        <v>126</v>
      </c>
      <c r="E26" s="57">
        <f>[1]Recap!B25+[1]Recap!B8</f>
        <v>400</v>
      </c>
      <c r="F26" s="57">
        <f>[1]Previs!E23+85</f>
        <v>1281.4000000000001</v>
      </c>
      <c r="G26" s="58" t="s">
        <v>127</v>
      </c>
      <c r="H26" s="60" t="s">
        <v>128</v>
      </c>
    </row>
    <row r="27" spans="1:8" x14ac:dyDescent="0.25">
      <c r="A27" s="105"/>
      <c r="C27" s="55">
        <v>62410</v>
      </c>
      <c r="D27" s="56" t="s">
        <v>129</v>
      </c>
      <c r="E27" s="57">
        <f>[1]Recap!B9+[1]Recap!B18</f>
        <v>100</v>
      </c>
      <c r="F27" s="57">
        <f>[1]Previs!E6+[1]Previs!E16</f>
        <v>70</v>
      </c>
      <c r="G27" s="58" t="s">
        <v>105</v>
      </c>
      <c r="H27" s="60" t="s">
        <v>130</v>
      </c>
    </row>
    <row r="28" spans="1:8" x14ac:dyDescent="0.25">
      <c r="A28" s="105"/>
      <c r="C28" s="55">
        <v>62510</v>
      </c>
      <c r="D28" s="56" t="s">
        <v>131</v>
      </c>
      <c r="E28" s="108">
        <f>[1]Recap!B21+[1]Recap!B29</f>
        <v>3400</v>
      </c>
      <c r="F28" s="108">
        <f>[1]Previs!E19+[1]Previs!E27</f>
        <v>3468.9300000000003</v>
      </c>
      <c r="G28" s="109" t="s">
        <v>132</v>
      </c>
      <c r="H28" s="60"/>
    </row>
    <row r="29" spans="1:8" x14ac:dyDescent="0.25">
      <c r="A29" s="105"/>
      <c r="C29" s="55">
        <v>62511</v>
      </c>
      <c r="D29" s="56" t="s">
        <v>133</v>
      </c>
      <c r="E29" s="108"/>
      <c r="F29" s="108"/>
      <c r="G29" s="109"/>
      <c r="H29" s="60"/>
    </row>
    <row r="30" spans="1:8" x14ac:dyDescent="0.25">
      <c r="A30" s="105"/>
      <c r="C30" s="55">
        <v>62512</v>
      </c>
      <c r="D30" s="56" t="s">
        <v>134</v>
      </c>
      <c r="E30" s="108"/>
      <c r="F30" s="108"/>
      <c r="G30" s="109"/>
      <c r="H30" s="60"/>
    </row>
    <row r="31" spans="1:8" x14ac:dyDescent="0.25">
      <c r="A31" s="105"/>
      <c r="C31" s="55">
        <v>62520</v>
      </c>
      <c r="D31" s="56" t="s">
        <v>135</v>
      </c>
      <c r="E31" s="108"/>
      <c r="F31" s="108"/>
      <c r="G31" s="109"/>
      <c r="H31" s="60"/>
    </row>
    <row r="32" spans="1:8" x14ac:dyDescent="0.25">
      <c r="A32" s="105"/>
      <c r="C32" s="55">
        <v>62530</v>
      </c>
      <c r="D32" s="56" t="s">
        <v>136</v>
      </c>
      <c r="E32" s="108"/>
      <c r="F32" s="108"/>
      <c r="G32" s="109"/>
      <c r="H32" s="60"/>
    </row>
    <row r="33" spans="1:8" x14ac:dyDescent="0.25">
      <c r="A33" s="105"/>
      <c r="C33" s="55">
        <v>62570</v>
      </c>
      <c r="D33" s="56" t="s">
        <v>137</v>
      </c>
      <c r="E33" s="57">
        <f>[1]Recap!B40</f>
        <v>100</v>
      </c>
      <c r="F33" s="57">
        <f>[1]Previs!E33</f>
        <v>66.5</v>
      </c>
      <c r="G33" s="58" t="s">
        <v>138</v>
      </c>
      <c r="H33" s="60" t="s">
        <v>130</v>
      </c>
    </row>
    <row r="34" spans="1:8" x14ac:dyDescent="0.25">
      <c r="A34" s="105"/>
      <c r="C34" s="55">
        <v>62610</v>
      </c>
      <c r="D34" s="56" t="s">
        <v>139</v>
      </c>
      <c r="E34" s="57">
        <f>[1]Recap!B35</f>
        <v>50</v>
      </c>
      <c r="F34" s="57">
        <v>50</v>
      </c>
      <c r="G34" s="58" t="s">
        <v>105</v>
      </c>
      <c r="H34" s="60"/>
    </row>
    <row r="35" spans="1:8" x14ac:dyDescent="0.25">
      <c r="A35" s="105"/>
      <c r="C35" s="55">
        <v>62620</v>
      </c>
      <c r="D35" s="56" t="s">
        <v>140</v>
      </c>
      <c r="E35" s="57">
        <f>[1]Recap!B36</f>
        <v>650</v>
      </c>
      <c r="F35" s="57">
        <v>650</v>
      </c>
      <c r="G35" s="58" t="s">
        <v>105</v>
      </c>
      <c r="H35" s="60"/>
    </row>
    <row r="36" spans="1:8" x14ac:dyDescent="0.25">
      <c r="A36" s="105"/>
      <c r="C36" s="55">
        <v>62700</v>
      </c>
      <c r="D36" s="56" t="s">
        <v>141</v>
      </c>
      <c r="E36" s="57"/>
      <c r="F36" s="57"/>
      <c r="G36" s="58"/>
      <c r="H36" s="60"/>
    </row>
    <row r="37" spans="1:8" x14ac:dyDescent="0.25">
      <c r="A37" s="105"/>
      <c r="C37" s="61">
        <v>62810</v>
      </c>
      <c r="D37" s="62" t="s">
        <v>142</v>
      </c>
      <c r="E37" s="69">
        <v>100</v>
      </c>
      <c r="F37" s="57">
        <f>[1]Previs!E30</f>
        <v>100</v>
      </c>
      <c r="G37" s="58" t="s">
        <v>143</v>
      </c>
      <c r="H37" s="63"/>
    </row>
    <row r="38" spans="1:8" x14ac:dyDescent="0.25">
      <c r="A38" s="105"/>
      <c r="C38" s="70">
        <v>63330</v>
      </c>
      <c r="D38" s="71" t="s">
        <v>144</v>
      </c>
      <c r="E38" s="72"/>
      <c r="F38" s="66"/>
      <c r="G38" s="67"/>
      <c r="H38" s="63"/>
    </row>
    <row r="39" spans="1:8" x14ac:dyDescent="0.25">
      <c r="A39" s="105"/>
      <c r="C39" s="64">
        <v>64110</v>
      </c>
      <c r="D39" s="65" t="s">
        <v>37</v>
      </c>
      <c r="E39" s="57">
        <v>21528</v>
      </c>
      <c r="F39" s="57">
        <v>21341</v>
      </c>
      <c r="G39" s="67" t="s">
        <v>145</v>
      </c>
      <c r="H39" s="60"/>
    </row>
    <row r="40" spans="1:8" x14ac:dyDescent="0.25">
      <c r="A40" s="105"/>
      <c r="C40" s="55">
        <v>64120</v>
      </c>
      <c r="D40" s="56" t="s">
        <v>146</v>
      </c>
      <c r="E40" s="57"/>
      <c r="F40" s="57"/>
      <c r="G40" s="58"/>
      <c r="H40" s="60"/>
    </row>
    <row r="41" spans="1:8" x14ac:dyDescent="0.25">
      <c r="A41" s="105"/>
      <c r="C41" s="55">
        <v>64130</v>
      </c>
      <c r="D41" s="56" t="s">
        <v>147</v>
      </c>
      <c r="E41" s="110">
        <v>8964</v>
      </c>
      <c r="F41" s="110">
        <v>7669</v>
      </c>
      <c r="G41" s="58"/>
      <c r="H41" s="60"/>
    </row>
    <row r="42" spans="1:8" x14ac:dyDescent="0.25">
      <c r="A42" s="105"/>
      <c r="C42" s="55">
        <v>64511</v>
      </c>
      <c r="D42" s="56" t="s">
        <v>148</v>
      </c>
      <c r="E42" s="110"/>
      <c r="F42" s="110"/>
      <c r="G42" s="58"/>
      <c r="H42" s="60"/>
    </row>
    <row r="43" spans="1:8" x14ac:dyDescent="0.25">
      <c r="A43" s="105"/>
      <c r="C43" s="55">
        <v>64531</v>
      </c>
      <c r="D43" s="56" t="s">
        <v>149</v>
      </c>
      <c r="E43" s="110"/>
      <c r="F43" s="110"/>
      <c r="G43" s="58" t="s">
        <v>145</v>
      </c>
      <c r="H43" s="60"/>
    </row>
    <row r="44" spans="1:8" x14ac:dyDescent="0.25">
      <c r="A44" s="105"/>
      <c r="C44" s="55">
        <v>64532</v>
      </c>
      <c r="D44" s="56" t="s">
        <v>150</v>
      </c>
      <c r="E44" s="110"/>
      <c r="F44" s="110"/>
      <c r="G44" s="58"/>
      <c r="H44" s="60"/>
    </row>
    <row r="45" spans="1:8" x14ac:dyDescent="0.25">
      <c r="A45" s="105"/>
      <c r="C45" s="55">
        <v>64534</v>
      </c>
      <c r="D45" s="56" t="s">
        <v>151</v>
      </c>
      <c r="E45" s="57"/>
      <c r="F45" s="57"/>
      <c r="G45" s="58"/>
      <c r="H45" s="60"/>
    </row>
    <row r="46" spans="1:8" x14ac:dyDescent="0.25">
      <c r="A46" s="105"/>
      <c r="C46" s="55">
        <v>64580</v>
      </c>
      <c r="D46" s="56" t="s">
        <v>152</v>
      </c>
      <c r="E46" s="57"/>
      <c r="F46" s="57"/>
      <c r="G46" s="58"/>
      <c r="H46" s="60"/>
    </row>
    <row r="47" spans="1:8" x14ac:dyDescent="0.25">
      <c r="A47" s="105"/>
      <c r="C47" s="55">
        <v>64585</v>
      </c>
      <c r="D47" s="56" t="s">
        <v>153</v>
      </c>
      <c r="E47" s="57"/>
      <c r="F47" s="57"/>
      <c r="G47" s="58"/>
      <c r="H47" s="60"/>
    </row>
    <row r="48" spans="1:8" x14ac:dyDescent="0.25">
      <c r="A48" s="105"/>
      <c r="C48" s="55">
        <v>64700</v>
      </c>
      <c r="D48" s="56" t="s">
        <v>154</v>
      </c>
      <c r="E48" s="57"/>
      <c r="F48" s="57"/>
      <c r="G48" s="58"/>
      <c r="H48" s="60"/>
    </row>
    <row r="49" spans="1:8" x14ac:dyDescent="0.25">
      <c r="A49" s="105"/>
      <c r="C49" s="55">
        <v>64810</v>
      </c>
      <c r="D49" s="56" t="s">
        <v>155</v>
      </c>
      <c r="E49" s="57"/>
      <c r="F49" s="57"/>
      <c r="G49" s="58"/>
      <c r="H49" s="60"/>
    </row>
    <row r="50" spans="1:8" x14ac:dyDescent="0.25">
      <c r="A50" s="105"/>
      <c r="C50" s="61">
        <v>64820</v>
      </c>
      <c r="D50" s="62" t="s">
        <v>156</v>
      </c>
      <c r="E50" s="69"/>
      <c r="F50" s="57"/>
      <c r="G50" s="58"/>
      <c r="H50" s="63"/>
    </row>
    <row r="51" spans="1:8" x14ac:dyDescent="0.25">
      <c r="A51" s="105"/>
      <c r="C51" s="64">
        <v>65160</v>
      </c>
      <c r="D51" s="65" t="s">
        <v>157</v>
      </c>
      <c r="E51" s="66"/>
      <c r="F51" s="66"/>
      <c r="G51" s="67"/>
      <c r="H51" s="60"/>
    </row>
    <row r="52" spans="1:8" x14ac:dyDescent="0.25">
      <c r="A52" s="105"/>
      <c r="C52" s="55">
        <v>65161</v>
      </c>
      <c r="D52" s="56" t="s">
        <v>158</v>
      </c>
      <c r="E52" s="57"/>
      <c r="F52" s="57"/>
      <c r="G52" s="58"/>
      <c r="H52" s="60"/>
    </row>
    <row r="53" spans="1:8" x14ac:dyDescent="0.25">
      <c r="A53" s="105"/>
      <c r="C53" s="61">
        <v>65800</v>
      </c>
      <c r="D53" s="62" t="s">
        <v>159</v>
      </c>
      <c r="E53" s="69"/>
      <c r="F53" s="57"/>
      <c r="G53" s="58"/>
      <c r="H53" s="60"/>
    </row>
    <row r="54" spans="1:8" x14ac:dyDescent="0.25">
      <c r="A54" s="105"/>
      <c r="C54" s="61">
        <v>66160</v>
      </c>
      <c r="D54" s="62" t="s">
        <v>160</v>
      </c>
      <c r="E54" s="69"/>
      <c r="F54" s="72"/>
      <c r="G54" s="67"/>
      <c r="H54" s="73"/>
    </row>
    <row r="55" spans="1:8" x14ac:dyDescent="0.25">
      <c r="A55" s="105"/>
      <c r="C55" s="64">
        <v>67120</v>
      </c>
      <c r="D55" s="65" t="s">
        <v>161</v>
      </c>
      <c r="E55" s="66"/>
      <c r="F55" s="66"/>
      <c r="G55" s="67"/>
      <c r="H55" s="60"/>
    </row>
    <row r="56" spans="1:8" x14ac:dyDescent="0.25">
      <c r="A56" s="105"/>
      <c r="C56" s="61">
        <v>67200</v>
      </c>
      <c r="D56" s="62" t="s">
        <v>162</v>
      </c>
      <c r="E56" s="69"/>
      <c r="F56" s="69"/>
      <c r="G56" s="58"/>
      <c r="H56" s="60"/>
    </row>
    <row r="57" spans="1:8" x14ac:dyDescent="0.25">
      <c r="A57" s="105"/>
      <c r="C57" s="55">
        <v>68110</v>
      </c>
      <c r="D57" s="56" t="s">
        <v>163</v>
      </c>
      <c r="E57" s="57">
        <v>265</v>
      </c>
      <c r="F57" s="57">
        <v>265</v>
      </c>
      <c r="G57" s="67" t="s">
        <v>164</v>
      </c>
      <c r="H57" s="67"/>
    </row>
    <row r="58" spans="1:8" x14ac:dyDescent="0.25">
      <c r="A58" s="105"/>
      <c r="C58" s="55">
        <v>68120</v>
      </c>
      <c r="D58" s="56" t="s">
        <v>165</v>
      </c>
      <c r="E58" s="57"/>
      <c r="F58" s="57"/>
      <c r="G58" s="58"/>
      <c r="H58" s="60"/>
    </row>
    <row r="59" spans="1:8" x14ac:dyDescent="0.25">
      <c r="A59" s="105"/>
      <c r="C59" s="55">
        <v>68150</v>
      </c>
      <c r="D59" s="56" t="s">
        <v>166</v>
      </c>
      <c r="E59" s="57">
        <v>2500</v>
      </c>
      <c r="F59" s="57"/>
      <c r="H59" s="58" t="s">
        <v>188</v>
      </c>
    </row>
    <row r="60" spans="1:8" ht="15.75" thickBot="1" x14ac:dyDescent="0.3">
      <c r="A60" s="105"/>
      <c r="C60" s="74">
        <v>68174</v>
      </c>
      <c r="D60" s="75" t="s">
        <v>167</v>
      </c>
      <c r="E60" s="57"/>
      <c r="F60" s="57"/>
      <c r="G60" s="76"/>
      <c r="H60" s="76"/>
    </row>
    <row r="61" spans="1:8" ht="15.75" thickBot="1" x14ac:dyDescent="0.3">
      <c r="E61" s="77">
        <f>SUM(E6:E60)</f>
        <v>94024</v>
      </c>
      <c r="F61" s="77">
        <f>SUM(F6:F60)</f>
        <v>85083.03</v>
      </c>
    </row>
    <row r="62" spans="1:8" s="78" customFormat="1" ht="15.75" thickBot="1" x14ac:dyDescent="0.3">
      <c r="C62" s="79"/>
      <c r="D62" s="79"/>
      <c r="E62" s="80"/>
      <c r="F62" s="80"/>
      <c r="G62" s="81"/>
    </row>
    <row r="63" spans="1:8" x14ac:dyDescent="0.25">
      <c r="A63" s="105" t="s">
        <v>168</v>
      </c>
      <c r="C63" s="51">
        <v>70704</v>
      </c>
      <c r="D63" s="52" t="s">
        <v>169</v>
      </c>
      <c r="E63" s="53">
        <f>[1]Recap!G6+[1]Recap!G7</f>
        <v>1500</v>
      </c>
      <c r="F63" s="82">
        <f>[1]Previs!J5+[1]Previs!J6</f>
        <v>1953</v>
      </c>
      <c r="G63" s="54" t="s">
        <v>105</v>
      </c>
      <c r="H63" s="54" t="s">
        <v>115</v>
      </c>
    </row>
    <row r="64" spans="1:8" x14ac:dyDescent="0.25">
      <c r="A64" s="105"/>
      <c r="C64" s="55">
        <v>70820</v>
      </c>
      <c r="D64" s="56" t="s">
        <v>170</v>
      </c>
      <c r="E64" s="57"/>
      <c r="F64" s="83"/>
      <c r="G64" s="58"/>
      <c r="H64" s="58"/>
    </row>
    <row r="65" spans="1:8" x14ac:dyDescent="0.25">
      <c r="A65" s="105"/>
      <c r="C65" s="55">
        <v>70860</v>
      </c>
      <c r="D65" s="56" t="s">
        <v>171</v>
      </c>
      <c r="E65" s="57">
        <f>[1]Recap!G8+[1]Recap!G10+[1]Recap!G9</f>
        <v>5900</v>
      </c>
      <c r="F65" s="83">
        <f>[1]Previs!J7+[1]Previs!J8</f>
        <v>4578.5200000000004</v>
      </c>
      <c r="G65" s="58" t="s">
        <v>172</v>
      </c>
      <c r="H65" s="58" t="s">
        <v>96</v>
      </c>
    </row>
    <row r="66" spans="1:8" x14ac:dyDescent="0.25">
      <c r="A66" s="105"/>
      <c r="C66" s="64">
        <v>74100</v>
      </c>
      <c r="D66" s="65" t="s">
        <v>173</v>
      </c>
      <c r="E66" s="66">
        <f>[1]Recap!G17</f>
        <v>20000</v>
      </c>
      <c r="F66" s="84">
        <f>[1]Previs!J15</f>
        <v>20000</v>
      </c>
      <c r="G66" s="67" t="s">
        <v>105</v>
      </c>
      <c r="H66" s="67"/>
    </row>
    <row r="67" spans="1:8" x14ac:dyDescent="0.25">
      <c r="A67" s="105"/>
      <c r="C67" s="55">
        <v>74110</v>
      </c>
      <c r="D67" s="56" t="s">
        <v>174</v>
      </c>
      <c r="E67" s="57">
        <f>[1]Recap!G19+[1]Recap!G20</f>
        <v>3000</v>
      </c>
      <c r="F67" s="83">
        <f>[1]Previs!J17+[1]Previs!J18</f>
        <v>3000</v>
      </c>
      <c r="G67" s="58" t="s">
        <v>175</v>
      </c>
      <c r="H67" s="58"/>
    </row>
    <row r="68" spans="1:8" x14ac:dyDescent="0.25">
      <c r="A68" s="105"/>
      <c r="C68" s="55">
        <v>74200</v>
      </c>
      <c r="D68" s="56" t="s">
        <v>176</v>
      </c>
      <c r="E68" s="57"/>
      <c r="F68" s="83"/>
      <c r="G68" s="58"/>
      <c r="H68" s="58"/>
    </row>
    <row r="69" spans="1:8" x14ac:dyDescent="0.25">
      <c r="A69" s="105"/>
      <c r="C69" s="55">
        <v>74600</v>
      </c>
      <c r="D69" s="56" t="s">
        <v>177</v>
      </c>
      <c r="E69" s="57">
        <f>[1]Recap!G14+[1]Recap!G15+[1]Recap!G13+[1]Recap!G25</f>
        <v>57124</v>
      </c>
      <c r="F69" s="83">
        <f>[1]Previs!J11+[1]Previs!J12+[1]Previs!J13</f>
        <v>57124</v>
      </c>
      <c r="G69" s="58" t="s">
        <v>178</v>
      </c>
      <c r="H69" s="58"/>
    </row>
    <row r="70" spans="1:8" x14ac:dyDescent="0.25">
      <c r="A70" s="105"/>
      <c r="C70" s="61">
        <v>74700</v>
      </c>
      <c r="D70" s="62" t="s">
        <v>179</v>
      </c>
      <c r="E70" s="69"/>
      <c r="F70" s="83"/>
      <c r="G70" s="58"/>
      <c r="H70" s="58"/>
    </row>
    <row r="71" spans="1:8" s="48" customFormat="1" x14ac:dyDescent="0.25">
      <c r="A71" s="105"/>
      <c r="C71" s="64">
        <v>75600</v>
      </c>
      <c r="D71" s="56" t="s">
        <v>180</v>
      </c>
      <c r="E71" s="66">
        <f>[1]Recap!G22</f>
        <v>6500</v>
      </c>
      <c r="F71" s="84">
        <f>[1]Previs!J20</f>
        <v>3500</v>
      </c>
      <c r="G71" s="67" t="s">
        <v>181</v>
      </c>
      <c r="H71" s="67" t="s">
        <v>182</v>
      </c>
    </row>
    <row r="72" spans="1:8" s="48" customFormat="1" x14ac:dyDescent="0.25">
      <c r="A72" s="105"/>
      <c r="C72" s="61">
        <v>75800</v>
      </c>
      <c r="D72" s="62" t="s">
        <v>183</v>
      </c>
      <c r="E72" s="57"/>
      <c r="F72" s="83"/>
      <c r="G72" s="85"/>
      <c r="H72" s="85"/>
    </row>
    <row r="73" spans="1:8" x14ac:dyDescent="0.25">
      <c r="A73" s="105"/>
      <c r="C73" s="70">
        <v>76800</v>
      </c>
      <c r="D73" s="71" t="s">
        <v>184</v>
      </c>
      <c r="E73" s="72"/>
      <c r="F73" s="86"/>
      <c r="G73" s="87"/>
      <c r="H73" s="87"/>
    </row>
    <row r="74" spans="1:8" x14ac:dyDescent="0.25">
      <c r="A74" s="105"/>
      <c r="C74" s="70">
        <v>77200</v>
      </c>
      <c r="D74" s="71" t="s">
        <v>185</v>
      </c>
      <c r="E74" s="72"/>
      <c r="F74" s="86"/>
      <c r="G74" s="87"/>
      <c r="H74" s="87"/>
    </row>
    <row r="75" spans="1:8" ht="15.75" thickBot="1" x14ac:dyDescent="0.3">
      <c r="A75" s="105"/>
      <c r="C75" s="74">
        <v>79100</v>
      </c>
      <c r="D75" s="75" t="s">
        <v>186</v>
      </c>
      <c r="E75" s="88"/>
      <c r="F75" s="89"/>
      <c r="G75" s="90"/>
      <c r="H75" s="90"/>
    </row>
    <row r="76" spans="1:8" ht="15.75" thickBot="1" x14ac:dyDescent="0.3">
      <c r="E76" s="91">
        <f>SUM(E63:E75)</f>
        <v>94024</v>
      </c>
      <c r="F76" s="91">
        <f>SUM(F63:F75)</f>
        <v>90155.520000000004</v>
      </c>
    </row>
    <row r="77" spans="1:8" x14ac:dyDescent="0.25">
      <c r="E77" s="92" t="s">
        <v>187</v>
      </c>
      <c r="F77" s="92">
        <f>F76-F61</f>
        <v>5072.4900000000052</v>
      </c>
    </row>
    <row r="78" spans="1:8" s="112" customFormat="1" x14ac:dyDescent="0.25">
      <c r="C78" s="113"/>
      <c r="D78" s="113"/>
      <c r="E78" s="113"/>
      <c r="F78" s="113"/>
      <c r="G78" s="114"/>
    </row>
    <row r="79" spans="1:8" x14ac:dyDescent="0.25">
      <c r="E79" s="115"/>
      <c r="F79" s="115"/>
    </row>
    <row r="885" spans="3:6" x14ac:dyDescent="0.25">
      <c r="C885">
        <v>62610</v>
      </c>
      <c r="D885" t="s">
        <v>139</v>
      </c>
      <c r="E885" s="38"/>
      <c r="F885" s="38"/>
    </row>
    <row r="886" spans="3:6" x14ac:dyDescent="0.25">
      <c r="C886">
        <v>62610</v>
      </c>
      <c r="D886" t="s">
        <v>139</v>
      </c>
      <c r="E886" s="38"/>
      <c r="F886" s="38"/>
    </row>
    <row r="887" spans="3:6" x14ac:dyDescent="0.25">
      <c r="C887">
        <v>62610</v>
      </c>
      <c r="D887" t="s">
        <v>139</v>
      </c>
      <c r="E887" s="38"/>
      <c r="F887" s="38"/>
    </row>
    <row r="888" spans="3:6" x14ac:dyDescent="0.25">
      <c r="C888">
        <v>62610</v>
      </c>
      <c r="D888" t="s">
        <v>139</v>
      </c>
      <c r="E888" s="38"/>
      <c r="F888" s="38"/>
    </row>
    <row r="889" spans="3:6" x14ac:dyDescent="0.25">
      <c r="C889">
        <v>62610</v>
      </c>
      <c r="D889" t="s">
        <v>139</v>
      </c>
      <c r="E889" s="38"/>
      <c r="F889" s="38"/>
    </row>
    <row r="890" spans="3:6" x14ac:dyDescent="0.25">
      <c r="C890">
        <v>64810</v>
      </c>
      <c r="D890" t="s">
        <v>155</v>
      </c>
      <c r="E890" s="38"/>
      <c r="F890" s="38"/>
    </row>
    <row r="891" spans="3:6" x14ac:dyDescent="0.25">
      <c r="C891">
        <v>70841</v>
      </c>
      <c r="D891" t="s">
        <v>189</v>
      </c>
      <c r="E891" s="38"/>
      <c r="F891" s="38"/>
    </row>
    <row r="892" spans="3:6" x14ac:dyDescent="0.25">
      <c r="C892">
        <v>70841</v>
      </c>
      <c r="D892" t="s">
        <v>189</v>
      </c>
      <c r="E892" s="38"/>
      <c r="F892" s="38"/>
    </row>
    <row r="893" spans="3:6" x14ac:dyDescent="0.25">
      <c r="C893">
        <v>60400</v>
      </c>
      <c r="D893" t="s">
        <v>94</v>
      </c>
      <c r="E893" s="38"/>
      <c r="F893" s="38"/>
    </row>
    <row r="894" spans="3:6" x14ac:dyDescent="0.25">
      <c r="C894">
        <v>60400</v>
      </c>
      <c r="D894" t="s">
        <v>94</v>
      </c>
      <c r="E894" s="38"/>
      <c r="F894" s="38"/>
    </row>
    <row r="895" spans="3:6" x14ac:dyDescent="0.25">
      <c r="C895">
        <v>60400</v>
      </c>
      <c r="D895" t="s">
        <v>94</v>
      </c>
      <c r="E895" s="38"/>
      <c r="F895" s="38"/>
    </row>
    <row r="896" spans="3:6" x14ac:dyDescent="0.25">
      <c r="C896">
        <v>60410</v>
      </c>
      <c r="D896" t="s">
        <v>97</v>
      </c>
      <c r="E896" s="38"/>
      <c r="F896" s="38"/>
    </row>
    <row r="897" spans="3:6" x14ac:dyDescent="0.25">
      <c r="C897">
        <v>60410</v>
      </c>
      <c r="D897" t="s">
        <v>97</v>
      </c>
      <c r="E897" s="38"/>
      <c r="F897" s="38"/>
    </row>
    <row r="898" spans="3:6" x14ac:dyDescent="0.25">
      <c r="C898">
        <v>60410</v>
      </c>
      <c r="D898" t="s">
        <v>97</v>
      </c>
      <c r="E898" s="38"/>
      <c r="F898" s="38"/>
    </row>
    <row r="899" spans="3:6" x14ac:dyDescent="0.25">
      <c r="C899">
        <v>60420</v>
      </c>
      <c r="D899" t="s">
        <v>99</v>
      </c>
      <c r="E899" s="38"/>
      <c r="F899" s="38"/>
    </row>
    <row r="900" spans="3:6" x14ac:dyDescent="0.25">
      <c r="C900">
        <v>60420</v>
      </c>
      <c r="D900" t="s">
        <v>99</v>
      </c>
      <c r="E900" s="38"/>
      <c r="F900" s="38"/>
    </row>
    <row r="901" spans="3:6" x14ac:dyDescent="0.25">
      <c r="C901">
        <v>60610</v>
      </c>
      <c r="D901" t="s">
        <v>104</v>
      </c>
      <c r="E901" s="38"/>
      <c r="F901" s="38"/>
    </row>
    <row r="902" spans="3:6" x14ac:dyDescent="0.25">
      <c r="C902">
        <v>60610</v>
      </c>
      <c r="D902" t="s">
        <v>104</v>
      </c>
      <c r="E902" s="38"/>
      <c r="F902" s="38"/>
    </row>
    <row r="903" spans="3:6" x14ac:dyDescent="0.25">
      <c r="C903">
        <v>60630</v>
      </c>
      <c r="D903" t="s">
        <v>107</v>
      </c>
      <c r="E903" s="38"/>
      <c r="F903" s="38"/>
    </row>
    <row r="904" spans="3:6" x14ac:dyDescent="0.25">
      <c r="C904">
        <v>60630</v>
      </c>
      <c r="D904" t="s">
        <v>107</v>
      </c>
      <c r="E904" s="38"/>
      <c r="F904" s="38"/>
    </row>
    <row r="905" spans="3:6" x14ac:dyDescent="0.25">
      <c r="C905">
        <v>60630</v>
      </c>
      <c r="D905" t="s">
        <v>107</v>
      </c>
      <c r="E905" s="38"/>
      <c r="F905" s="38"/>
    </row>
    <row r="906" spans="3:6" x14ac:dyDescent="0.25">
      <c r="C906">
        <v>60703</v>
      </c>
      <c r="D906" t="s">
        <v>112</v>
      </c>
      <c r="E906" s="38"/>
      <c r="F906" s="38"/>
    </row>
    <row r="907" spans="3:6" x14ac:dyDescent="0.25">
      <c r="C907">
        <v>60703</v>
      </c>
      <c r="D907" t="s">
        <v>112</v>
      </c>
      <c r="E907" s="38"/>
      <c r="F907" s="38"/>
    </row>
    <row r="908" spans="3:6" x14ac:dyDescent="0.25">
      <c r="C908">
        <v>61340</v>
      </c>
      <c r="D908" t="s">
        <v>119</v>
      </c>
      <c r="E908" s="38"/>
      <c r="F908" s="38"/>
    </row>
    <row r="909" spans="3:6" x14ac:dyDescent="0.25">
      <c r="C909">
        <v>62300</v>
      </c>
      <c r="D909" t="s">
        <v>125</v>
      </c>
      <c r="E909" s="38"/>
      <c r="F909" s="38"/>
    </row>
    <row r="910" spans="3:6" x14ac:dyDescent="0.25">
      <c r="C910">
        <v>62510</v>
      </c>
      <c r="D910" t="s">
        <v>131</v>
      </c>
      <c r="E910" s="38"/>
      <c r="F910" s="38"/>
    </row>
    <row r="911" spans="3:6" x14ac:dyDescent="0.25">
      <c r="C911">
        <v>62510</v>
      </c>
      <c r="D911" t="s">
        <v>131</v>
      </c>
      <c r="E911" s="38"/>
      <c r="F911" s="38"/>
    </row>
    <row r="912" spans="3:6" x14ac:dyDescent="0.25">
      <c r="C912">
        <v>62510</v>
      </c>
      <c r="D912" t="s">
        <v>131</v>
      </c>
      <c r="E912" s="38"/>
      <c r="F912" s="38"/>
    </row>
    <row r="913" spans="3:6" x14ac:dyDescent="0.25">
      <c r="C913">
        <v>62510</v>
      </c>
      <c r="D913" t="s">
        <v>131</v>
      </c>
      <c r="E913" s="38"/>
      <c r="F913" s="38"/>
    </row>
    <row r="914" spans="3:6" x14ac:dyDescent="0.25">
      <c r="C914">
        <v>62511</v>
      </c>
      <c r="D914" t="s">
        <v>133</v>
      </c>
      <c r="E914" s="38"/>
      <c r="F914" s="38"/>
    </row>
    <row r="915" spans="3:6" x14ac:dyDescent="0.25">
      <c r="C915">
        <v>62511</v>
      </c>
      <c r="D915" t="s">
        <v>133</v>
      </c>
      <c r="E915" s="38"/>
      <c r="F915" s="38"/>
    </row>
    <row r="916" spans="3:6" x14ac:dyDescent="0.25">
      <c r="C916">
        <v>62511</v>
      </c>
      <c r="D916" t="s">
        <v>133</v>
      </c>
      <c r="E916" s="38"/>
      <c r="F916" s="38"/>
    </row>
    <row r="917" spans="3:6" x14ac:dyDescent="0.25">
      <c r="C917">
        <v>62511</v>
      </c>
      <c r="D917" t="s">
        <v>133</v>
      </c>
      <c r="E917" s="38"/>
      <c r="F917" s="38"/>
    </row>
    <row r="918" spans="3:6" x14ac:dyDescent="0.25">
      <c r="C918">
        <v>62511</v>
      </c>
      <c r="D918" t="s">
        <v>133</v>
      </c>
      <c r="E918" s="38"/>
      <c r="F918" s="38"/>
    </row>
    <row r="919" spans="3:6" x14ac:dyDescent="0.25">
      <c r="C919">
        <v>62511</v>
      </c>
      <c r="D919" t="s">
        <v>133</v>
      </c>
      <c r="E919" s="38"/>
      <c r="F919" s="38"/>
    </row>
    <row r="920" spans="3:6" x14ac:dyDescent="0.25">
      <c r="C920">
        <v>62512</v>
      </c>
      <c r="D920" t="s">
        <v>134</v>
      </c>
      <c r="E920" s="38"/>
      <c r="F920" s="38"/>
    </row>
    <row r="921" spans="3:6" x14ac:dyDescent="0.25">
      <c r="C921">
        <v>62512</v>
      </c>
      <c r="D921" t="s">
        <v>134</v>
      </c>
      <c r="E921" s="38"/>
      <c r="F921" s="38"/>
    </row>
    <row r="922" spans="3:6" x14ac:dyDescent="0.25">
      <c r="C922">
        <v>62520</v>
      </c>
      <c r="D922" t="s">
        <v>135</v>
      </c>
      <c r="E922" s="38"/>
      <c r="F922" s="38"/>
    </row>
    <row r="923" spans="3:6" x14ac:dyDescent="0.25">
      <c r="C923">
        <v>62520</v>
      </c>
      <c r="D923" t="s">
        <v>135</v>
      </c>
      <c r="E923" s="38"/>
      <c r="F923" s="38"/>
    </row>
    <row r="924" spans="3:6" x14ac:dyDescent="0.25">
      <c r="C924">
        <v>62520</v>
      </c>
      <c r="D924" t="s">
        <v>135</v>
      </c>
      <c r="E924" s="38"/>
      <c r="F924" s="38"/>
    </row>
    <row r="925" spans="3:6" x14ac:dyDescent="0.25">
      <c r="C925">
        <v>62520</v>
      </c>
      <c r="D925" t="s">
        <v>135</v>
      </c>
      <c r="E925" s="38"/>
      <c r="F925" s="38"/>
    </row>
    <row r="926" spans="3:6" x14ac:dyDescent="0.25">
      <c r="C926">
        <v>62520</v>
      </c>
      <c r="D926" t="s">
        <v>135</v>
      </c>
      <c r="E926" s="38"/>
      <c r="F926" s="38"/>
    </row>
    <row r="927" spans="3:6" x14ac:dyDescent="0.25">
      <c r="C927">
        <v>62520</v>
      </c>
      <c r="D927" t="s">
        <v>135</v>
      </c>
      <c r="E927" s="38"/>
      <c r="F927" s="38"/>
    </row>
    <row r="928" spans="3:6" x14ac:dyDescent="0.25">
      <c r="C928">
        <v>62520</v>
      </c>
      <c r="D928" t="s">
        <v>135</v>
      </c>
      <c r="E928" s="38"/>
      <c r="F928" s="38"/>
    </row>
    <row r="929" spans="3:6" x14ac:dyDescent="0.25">
      <c r="C929">
        <v>62520</v>
      </c>
      <c r="D929" t="s">
        <v>135</v>
      </c>
      <c r="E929" s="38"/>
      <c r="F929" s="38"/>
    </row>
    <row r="930" spans="3:6" x14ac:dyDescent="0.25">
      <c r="C930">
        <v>62530</v>
      </c>
      <c r="D930" t="s">
        <v>136</v>
      </c>
      <c r="E930" s="38"/>
      <c r="F930" s="38"/>
    </row>
    <row r="931" spans="3:6" x14ac:dyDescent="0.25">
      <c r="C931">
        <v>62570</v>
      </c>
      <c r="D931" t="s">
        <v>137</v>
      </c>
      <c r="E931" s="38"/>
      <c r="F931" s="38"/>
    </row>
    <row r="932" spans="3:6" x14ac:dyDescent="0.25">
      <c r="C932">
        <v>62570</v>
      </c>
      <c r="D932" t="s">
        <v>137</v>
      </c>
      <c r="E932" s="38"/>
      <c r="F932" s="38"/>
    </row>
    <row r="933" spans="3:6" x14ac:dyDescent="0.25">
      <c r="C933">
        <v>62570</v>
      </c>
      <c r="D933" t="s">
        <v>137</v>
      </c>
      <c r="E933" s="38"/>
      <c r="F933" s="38"/>
    </row>
    <row r="934" spans="3:6" x14ac:dyDescent="0.25">
      <c r="C934">
        <v>62610</v>
      </c>
      <c r="D934" t="s">
        <v>139</v>
      </c>
      <c r="E934" s="38"/>
      <c r="F934" s="38"/>
    </row>
    <row r="935" spans="3:6" x14ac:dyDescent="0.25">
      <c r="C935">
        <v>62610</v>
      </c>
      <c r="D935" t="s">
        <v>139</v>
      </c>
      <c r="E935" s="38"/>
      <c r="F935" s="38"/>
    </row>
    <row r="936" spans="3:6" x14ac:dyDescent="0.25">
      <c r="C936">
        <v>65160</v>
      </c>
      <c r="D936" t="s">
        <v>157</v>
      </c>
      <c r="E936" s="38"/>
      <c r="F936" s="38"/>
    </row>
    <row r="937" spans="3:6" x14ac:dyDescent="0.25">
      <c r="C937">
        <v>67200</v>
      </c>
      <c r="D937" t="s">
        <v>162</v>
      </c>
      <c r="E937" s="38"/>
      <c r="F937" s="38"/>
    </row>
    <row r="938" spans="3:6" x14ac:dyDescent="0.25">
      <c r="C938">
        <v>74100</v>
      </c>
      <c r="D938" t="s">
        <v>173</v>
      </c>
      <c r="E938" s="38"/>
      <c r="F938" s="38"/>
    </row>
    <row r="939" spans="3:6" x14ac:dyDescent="0.25">
      <c r="C939">
        <v>79100</v>
      </c>
      <c r="D939" t="s">
        <v>186</v>
      </c>
      <c r="E939" s="38"/>
      <c r="F939" s="38"/>
    </row>
  </sheetData>
  <mergeCells count="8">
    <mergeCell ref="A63:A75"/>
    <mergeCell ref="C1:H1"/>
    <mergeCell ref="A6:A60"/>
    <mergeCell ref="E28:E32"/>
    <mergeCell ref="F28:F32"/>
    <mergeCell ref="G28:G32"/>
    <mergeCell ref="E41:E44"/>
    <mergeCell ref="F41:F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Probable2015</vt:lpstr>
      <vt:lpstr>ComptableProbable2015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Anne-Laure Prunier</dc:creator>
  <cp:lastModifiedBy>Anne-Laure Prunier</cp:lastModifiedBy>
  <dcterms:created xsi:type="dcterms:W3CDTF">2015-10-02T15:10:29Z</dcterms:created>
  <dcterms:modified xsi:type="dcterms:W3CDTF">2015-10-07T09:24:41Z</dcterms:modified>
</cp:coreProperties>
</file>